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HJEMMESIDER\Software\"/>
    </mc:Choice>
  </mc:AlternateContent>
  <bookViews>
    <workbookView xWindow="3720" yWindow="165" windowWidth="12225" windowHeight="11640" tabRatio="956" activeTab="4"/>
  </bookViews>
  <sheets>
    <sheet name="Start" sheetId="11" r:id="rId1"/>
    <sheet name="D means" sheetId="20" r:id="rId2"/>
    <sheet name="D prop" sheetId="19" r:id="rId3"/>
    <sheet name="D rates" sheetId="14" r:id="rId4"/>
    <sheet name="C risk" sheetId="2" r:id="rId5"/>
    <sheet name="C rates" sheetId="5" r:id="rId6"/>
    <sheet name="C means" sheetId="9" r:id="rId7"/>
    <sheet name="Chisq" sheetId="17" r:id="rId8"/>
    <sheet name="Str RR" sheetId="6" r:id="rId9"/>
    <sheet name="Str OR" sheetId="3" r:id="rId10"/>
    <sheet name="Str IRR" sheetId="7" r:id="rId11"/>
    <sheet name="MH OR" sheetId="8" r:id="rId12"/>
    <sheet name="Str any" sheetId="21" r:id="rId13"/>
    <sheet name="Weighted" sheetId="22" r:id="rId14"/>
    <sheet name="Tables" sheetId="15" r:id="rId15"/>
  </sheets>
  <definedNames>
    <definedName name="_xlnm.Print_Area" localSheetId="6">'C means'!$A$1:$J$46</definedName>
    <definedName name="_xlnm.Print_Area" localSheetId="5">'C rates'!$A$1:$I$30</definedName>
    <definedName name="_xlnm.Print_Area" localSheetId="4">'C risk'!$A$1:$J$35</definedName>
    <definedName name="_xlnm.Print_Area" localSheetId="7">Chisq!$A$1:$M$69</definedName>
    <definedName name="_xlnm.Print_Area" localSheetId="1">'D means'!$A$1:$I$43</definedName>
    <definedName name="_xlnm.Print_Area" localSheetId="2">'D prop'!$A$1:$I$46</definedName>
    <definedName name="_xlnm.Print_Area" localSheetId="3">'D rates'!$A$1:$H$45</definedName>
    <definedName name="_xlnm.Print_Area" localSheetId="11">'MH OR'!$A$1:$I$57</definedName>
    <definedName name="_xlnm.Print_Area" localSheetId="0">Start!$A$1:$I$36</definedName>
    <definedName name="_xlnm.Print_Area" localSheetId="12">'Str any'!$A$1:$I$52</definedName>
    <definedName name="_xlnm.Print_Area" localSheetId="10">'Str IRR'!$A$1:$I$68</definedName>
    <definedName name="_xlnm.Print_Area" localSheetId="9">'Str OR'!$A$1:$I$66</definedName>
    <definedName name="_xlnm.Print_Area" localSheetId="8">'Str RR'!$A$1:$I$65</definedName>
    <definedName name="_xlnm.Print_Area" localSheetId="14">Tables!$A$1:$I$42</definedName>
    <definedName name="_xlnm.Print_Area" localSheetId="13">Weighted!$A$1:$H$56</definedName>
  </definedNames>
  <calcPr calcId="162913"/>
</workbook>
</file>

<file path=xl/calcChain.xml><?xml version="1.0" encoding="utf-8"?>
<calcChain xmlns="http://schemas.openxmlformats.org/spreadsheetml/2006/main">
  <c r="I12" i="21" l="1"/>
  <c r="I13" i="21"/>
  <c r="I14" i="21"/>
  <c r="I15" i="21"/>
  <c r="I16" i="21"/>
  <c r="I17" i="21"/>
  <c r="I18" i="21"/>
  <c r="I19" i="21"/>
  <c r="I20" i="21"/>
  <c r="I21" i="21"/>
  <c r="I22" i="21"/>
  <c r="I23" i="21"/>
  <c r="I24" i="21"/>
  <c r="I25" i="21"/>
  <c r="I26" i="21"/>
  <c r="I27" i="21"/>
  <c r="I28" i="21"/>
  <c r="I29" i="21"/>
  <c r="I30" i="21"/>
  <c r="I31" i="21"/>
  <c r="I32" i="21"/>
  <c r="I33" i="21"/>
  <c r="I11" i="21"/>
  <c r="H12" i="21"/>
  <c r="H13" i="21"/>
  <c r="H14" i="21"/>
  <c r="H15" i="21"/>
  <c r="H16" i="21"/>
  <c r="H17" i="21"/>
  <c r="H18" i="21"/>
  <c r="H19" i="21"/>
  <c r="H20" i="21"/>
  <c r="H21" i="21"/>
  <c r="H22" i="21"/>
  <c r="H23" i="21"/>
  <c r="H24" i="21"/>
  <c r="H25" i="21"/>
  <c r="H26" i="21"/>
  <c r="H27" i="21"/>
  <c r="H28" i="21"/>
  <c r="H29" i="21"/>
  <c r="H30" i="21"/>
  <c r="H31" i="21"/>
  <c r="H32" i="21"/>
  <c r="H33" i="21"/>
  <c r="H11" i="21"/>
  <c r="D51" i="22"/>
  <c r="C51" i="22"/>
  <c r="B51" i="22"/>
  <c r="D50" i="22"/>
  <c r="D52" i="22"/>
  <c r="C50" i="22"/>
  <c r="C52" i="22"/>
  <c r="B50" i="22"/>
  <c r="D48" i="21"/>
  <c r="D47" i="21"/>
  <c r="C48" i="21"/>
  <c r="C47" i="21"/>
  <c r="B48" i="21"/>
  <c r="B47" i="21"/>
  <c r="G7" i="7"/>
  <c r="G6" i="6"/>
  <c r="E12" i="21"/>
  <c r="E11" i="21"/>
  <c r="C63" i="3"/>
  <c r="C64" i="3"/>
  <c r="B64" i="3"/>
  <c r="B63" i="3"/>
  <c r="E13" i="21"/>
  <c r="F13" i="21"/>
  <c r="F12" i="21"/>
  <c r="E14" i="21"/>
  <c r="E15" i="21"/>
  <c r="E16" i="21"/>
  <c r="G13" i="21"/>
  <c r="F14" i="21"/>
  <c r="G14" i="21"/>
  <c r="F15" i="21"/>
  <c r="G15" i="21"/>
  <c r="F16" i="21"/>
  <c r="G16" i="21"/>
  <c r="E17" i="21"/>
  <c r="F17" i="21"/>
  <c r="G17" i="21"/>
  <c r="E18" i="21"/>
  <c r="F18" i="21"/>
  <c r="G18" i="21"/>
  <c r="E19" i="21"/>
  <c r="F19" i="21"/>
  <c r="G19" i="21"/>
  <c r="E20" i="21"/>
  <c r="F20" i="21"/>
  <c r="G20" i="21"/>
  <c r="E21" i="21"/>
  <c r="F21" i="21"/>
  <c r="G21" i="21"/>
  <c r="E22" i="21"/>
  <c r="F22" i="21"/>
  <c r="G22" i="21"/>
  <c r="E23" i="21"/>
  <c r="F23" i="21"/>
  <c r="G23" i="21"/>
  <c r="E24" i="21"/>
  <c r="F24" i="21"/>
  <c r="G24" i="21"/>
  <c r="E25" i="21"/>
  <c r="F25" i="21"/>
  <c r="G25" i="21"/>
  <c r="E26" i="21"/>
  <c r="F26" i="21"/>
  <c r="G26" i="21"/>
  <c r="E27" i="21"/>
  <c r="F27" i="21"/>
  <c r="G27" i="21"/>
  <c r="E28" i="21"/>
  <c r="F28" i="21"/>
  <c r="G28" i="21"/>
  <c r="F13" i="22"/>
  <c r="H13" i="22"/>
  <c r="F14" i="22"/>
  <c r="H14" i="22"/>
  <c r="F15" i="22"/>
  <c r="H15" i="22"/>
  <c r="F16" i="22"/>
  <c r="H16" i="22"/>
  <c r="F17" i="22"/>
  <c r="H17" i="22"/>
  <c r="F18" i="22"/>
  <c r="H18" i="22"/>
  <c r="F19" i="22"/>
  <c r="H19" i="22"/>
  <c r="F20" i="22"/>
  <c r="H20" i="22"/>
  <c r="F21" i="22"/>
  <c r="H21" i="22"/>
  <c r="F22" i="22"/>
  <c r="H22" i="22"/>
  <c r="F23" i="22"/>
  <c r="H23" i="22"/>
  <c r="F24" i="22"/>
  <c r="H24" i="22"/>
  <c r="F25" i="22"/>
  <c r="H25" i="22"/>
  <c r="F26" i="22"/>
  <c r="H26" i="22"/>
  <c r="F27" i="22"/>
  <c r="H27" i="22"/>
  <c r="F28" i="22"/>
  <c r="H28" i="22"/>
  <c r="F29" i="22"/>
  <c r="H29" i="22"/>
  <c r="F30" i="22"/>
  <c r="G30" i="22"/>
  <c r="H30" i="22"/>
  <c r="F31" i="22"/>
  <c r="G31" i="22"/>
  <c r="H31" i="22"/>
  <c r="H11" i="22"/>
  <c r="H12" i="22"/>
  <c r="H32" i="22"/>
  <c r="H33" i="22"/>
  <c r="H34" i="22"/>
  <c r="H35" i="22"/>
  <c r="H36" i="22"/>
  <c r="E37" i="22"/>
  <c r="G11" i="22" s="1"/>
  <c r="F11" i="22"/>
  <c r="F12" i="22"/>
  <c r="F32" i="22"/>
  <c r="F33" i="22"/>
  <c r="F34" i="22"/>
  <c r="F35" i="22"/>
  <c r="F36" i="22"/>
  <c r="F29" i="21"/>
  <c r="F30" i="21"/>
  <c r="F31" i="21"/>
  <c r="F32" i="21"/>
  <c r="F33" i="21"/>
  <c r="E29" i="21"/>
  <c r="E30" i="21"/>
  <c r="E31" i="21"/>
  <c r="E32" i="21"/>
  <c r="E33" i="21"/>
  <c r="D9" i="5"/>
  <c r="D10" i="5"/>
  <c r="C24" i="5"/>
  <c r="C20" i="5"/>
  <c r="F20" i="5"/>
  <c r="F26" i="2"/>
  <c r="F21" i="2"/>
  <c r="G32" i="22"/>
  <c r="G33" i="22"/>
  <c r="G34" i="22"/>
  <c r="G35" i="22"/>
  <c r="G36" i="22"/>
  <c r="E22" i="5"/>
  <c r="D14" i="2"/>
  <c r="B17" i="3"/>
  <c r="C17" i="3"/>
  <c r="D17" i="3" s="1"/>
  <c r="B11" i="3"/>
  <c r="C11" i="3"/>
  <c r="B41" i="3"/>
  <c r="D41" i="3" s="1"/>
  <c r="C41" i="3"/>
  <c r="B35" i="3"/>
  <c r="D35" i="3" s="1"/>
  <c r="E33" i="3" s="1"/>
  <c r="C35" i="3"/>
  <c r="B29" i="3"/>
  <c r="C29" i="3"/>
  <c r="B23" i="3"/>
  <c r="D23" i="3" s="1"/>
  <c r="C23" i="3"/>
  <c r="H1" i="6"/>
  <c r="G33" i="21"/>
  <c r="G32" i="21"/>
  <c r="G31" i="21"/>
  <c r="G30" i="21"/>
  <c r="G29" i="21"/>
  <c r="I43" i="20"/>
  <c r="F43" i="20"/>
  <c r="E43" i="20"/>
  <c r="I42" i="20"/>
  <c r="H42" i="20"/>
  <c r="G42" i="20"/>
  <c r="F42" i="20"/>
  <c r="E42" i="20"/>
  <c r="D42" i="20"/>
  <c r="I38" i="20"/>
  <c r="F38" i="20"/>
  <c r="E38" i="20"/>
  <c r="I37" i="20"/>
  <c r="H37" i="20"/>
  <c r="G37" i="20"/>
  <c r="F37" i="20"/>
  <c r="E37" i="20"/>
  <c r="D37" i="20"/>
  <c r="I33" i="20"/>
  <c r="F33" i="20"/>
  <c r="E33" i="20"/>
  <c r="I32" i="20"/>
  <c r="H32" i="20"/>
  <c r="G32" i="20"/>
  <c r="F32" i="20"/>
  <c r="E32" i="20"/>
  <c r="D32" i="20"/>
  <c r="I28" i="20"/>
  <c r="F28" i="20"/>
  <c r="E28" i="20"/>
  <c r="I27" i="20"/>
  <c r="H27" i="20"/>
  <c r="G27" i="20"/>
  <c r="F27" i="20"/>
  <c r="E27" i="20"/>
  <c r="D27" i="20"/>
  <c r="I23" i="20"/>
  <c r="F23" i="20"/>
  <c r="E23" i="20"/>
  <c r="I22" i="20"/>
  <c r="H22" i="20"/>
  <c r="G22" i="20"/>
  <c r="F22" i="20"/>
  <c r="E22" i="20"/>
  <c r="D22" i="20"/>
  <c r="I18" i="20"/>
  <c r="F18" i="20"/>
  <c r="E18" i="20"/>
  <c r="I17" i="20"/>
  <c r="H17" i="20"/>
  <c r="G17" i="20"/>
  <c r="F17" i="20"/>
  <c r="E17" i="20"/>
  <c r="D17" i="20"/>
  <c r="I13" i="20"/>
  <c r="F13" i="20"/>
  <c r="E13" i="20"/>
  <c r="I12" i="20"/>
  <c r="H12" i="20"/>
  <c r="G12" i="20"/>
  <c r="F12" i="20"/>
  <c r="E12" i="20"/>
  <c r="D12" i="20"/>
  <c r="G7" i="20"/>
  <c r="H7" i="20"/>
  <c r="I7" i="20" s="1"/>
  <c r="D7" i="20"/>
  <c r="F8" i="20" s="1"/>
  <c r="E7" i="20"/>
  <c r="B35" i="6"/>
  <c r="C35" i="6"/>
  <c r="D35" i="6" s="1"/>
  <c r="E8" i="20"/>
  <c r="G6" i="3"/>
  <c r="D22" i="8"/>
  <c r="B24" i="8"/>
  <c r="C24" i="8"/>
  <c r="D28" i="8"/>
  <c r="B30" i="8"/>
  <c r="C30" i="8"/>
  <c r="D34" i="8"/>
  <c r="B36" i="8"/>
  <c r="C36" i="8"/>
  <c r="D10" i="8"/>
  <c r="B12" i="8"/>
  <c r="C12" i="8"/>
  <c r="D16" i="8"/>
  <c r="B18" i="8"/>
  <c r="D18" i="8" s="1"/>
  <c r="C18" i="8"/>
  <c r="D40" i="8"/>
  <c r="B42" i="8"/>
  <c r="D42" i="8" s="1"/>
  <c r="C42" i="8"/>
  <c r="N43" i="19"/>
  <c r="L43" i="19"/>
  <c r="F43" i="19" s="1"/>
  <c r="F45" i="19"/>
  <c r="K43" i="19"/>
  <c r="N38" i="19"/>
  <c r="N39" i="19"/>
  <c r="L38" i="19"/>
  <c r="E40" i="19" s="1"/>
  <c r="K38" i="19"/>
  <c r="N33" i="19"/>
  <c r="N34" i="19" s="1"/>
  <c r="N35" i="19" s="1"/>
  <c r="L33" i="19"/>
  <c r="G35" i="19" s="1"/>
  <c r="F35" i="19"/>
  <c r="G34" i="19"/>
  <c r="K33" i="19"/>
  <c r="H33" i="19"/>
  <c r="F33" i="19"/>
  <c r="N28" i="19"/>
  <c r="L28" i="19"/>
  <c r="D29" i="19" s="1"/>
  <c r="K28" i="19"/>
  <c r="N23" i="19"/>
  <c r="N24" i="19" s="1"/>
  <c r="L23" i="19"/>
  <c r="G24" i="19" s="1"/>
  <c r="E25" i="19"/>
  <c r="K23" i="19"/>
  <c r="H24" i="19"/>
  <c r="N18" i="19"/>
  <c r="L18" i="19"/>
  <c r="F18" i="19" s="1"/>
  <c r="K18" i="19"/>
  <c r="N13" i="19"/>
  <c r="N14" i="19" s="1"/>
  <c r="L13" i="19"/>
  <c r="E15" i="19" s="1"/>
  <c r="D15" i="19"/>
  <c r="F15" i="19"/>
  <c r="G14" i="19"/>
  <c r="F14" i="19"/>
  <c r="K13" i="19"/>
  <c r="J13" i="19"/>
  <c r="H13" i="19"/>
  <c r="N8" i="19"/>
  <c r="L8" i="19"/>
  <c r="D8" i="19" s="1"/>
  <c r="K8" i="19"/>
  <c r="I8" i="19" s="1"/>
  <c r="I43" i="14"/>
  <c r="C43" i="14"/>
  <c r="I39" i="14"/>
  <c r="C39" i="14" s="1"/>
  <c r="I35" i="14"/>
  <c r="H35" i="14" s="1"/>
  <c r="I31" i="14"/>
  <c r="C31" i="14" s="1"/>
  <c r="I27" i="14"/>
  <c r="J27" i="14" s="1"/>
  <c r="G27" i="14" s="1"/>
  <c r="C27" i="14"/>
  <c r="I23" i="14"/>
  <c r="C23" i="14" s="1"/>
  <c r="I19" i="14"/>
  <c r="C19" i="14"/>
  <c r="I15" i="14"/>
  <c r="C15" i="14" s="1"/>
  <c r="I11" i="14"/>
  <c r="C29" i="9"/>
  <c r="C40" i="9"/>
  <c r="C30" i="9"/>
  <c r="C41" i="9" s="1"/>
  <c r="C42" i="9" s="1"/>
  <c r="E10" i="9"/>
  <c r="F10" i="9" s="1"/>
  <c r="E11" i="9"/>
  <c r="F11" i="9"/>
  <c r="B30" i="9"/>
  <c r="I30" i="9"/>
  <c r="D30" i="9"/>
  <c r="D41" i="9"/>
  <c r="B29" i="9"/>
  <c r="B40" i="9" s="1"/>
  <c r="I29" i="9"/>
  <c r="D29" i="9"/>
  <c r="B12" i="9"/>
  <c r="C12" i="9" s="1"/>
  <c r="B21" i="9"/>
  <c r="B22" i="9"/>
  <c r="C21" i="9"/>
  <c r="C22" i="9"/>
  <c r="C13" i="9"/>
  <c r="I10" i="17"/>
  <c r="H10" i="17" s="1"/>
  <c r="I11" i="17"/>
  <c r="H11" i="17"/>
  <c r="I12" i="17"/>
  <c r="J12" i="17" s="1"/>
  <c r="I13" i="17"/>
  <c r="J13" i="17" s="1"/>
  <c r="I14" i="17"/>
  <c r="I15" i="17"/>
  <c r="J15" i="17" s="1"/>
  <c r="I16" i="17"/>
  <c r="K16" i="17" s="1"/>
  <c r="L16" i="17" s="1"/>
  <c r="I17" i="17"/>
  <c r="K17" i="17" s="1"/>
  <c r="I18" i="17"/>
  <c r="I19" i="17"/>
  <c r="K19" i="17" s="1"/>
  <c r="C21" i="17"/>
  <c r="C23" i="17" s="1"/>
  <c r="C24" i="17" s="1"/>
  <c r="D21" i="17"/>
  <c r="D23" i="17" s="1"/>
  <c r="E21" i="17"/>
  <c r="E20" i="17" s="1"/>
  <c r="F21" i="17"/>
  <c r="F22" i="17" s="1"/>
  <c r="G21" i="17"/>
  <c r="C49" i="17"/>
  <c r="D49" i="17"/>
  <c r="E49" i="17"/>
  <c r="F49" i="17"/>
  <c r="G49" i="17"/>
  <c r="E50" i="17"/>
  <c r="C50" i="17"/>
  <c r="D50" i="17"/>
  <c r="F50" i="17"/>
  <c r="G50" i="17"/>
  <c r="H50" i="17" s="1"/>
  <c r="C51" i="17"/>
  <c r="D51" i="17"/>
  <c r="E51" i="17"/>
  <c r="F51" i="17"/>
  <c r="G51" i="17"/>
  <c r="C52" i="17"/>
  <c r="D52" i="17"/>
  <c r="E52" i="17"/>
  <c r="F52" i="17"/>
  <c r="G52" i="17"/>
  <c r="C53" i="17"/>
  <c r="D53" i="17"/>
  <c r="E53" i="17"/>
  <c r="F53" i="17"/>
  <c r="G53" i="17"/>
  <c r="C54" i="17"/>
  <c r="H54" i="17" s="1"/>
  <c r="D54" i="17"/>
  <c r="E54" i="17"/>
  <c r="F54" i="17"/>
  <c r="G54" i="17"/>
  <c r="C55" i="17"/>
  <c r="D55" i="17"/>
  <c r="E55" i="17"/>
  <c r="F55" i="17"/>
  <c r="G55" i="17"/>
  <c r="C56" i="17"/>
  <c r="D56" i="17"/>
  <c r="E56" i="17"/>
  <c r="F56" i="17"/>
  <c r="G56" i="17"/>
  <c r="C57" i="17"/>
  <c r="D57" i="17"/>
  <c r="E57" i="17"/>
  <c r="F57" i="17"/>
  <c r="G57" i="17"/>
  <c r="C58" i="17"/>
  <c r="D58" i="17"/>
  <c r="E58" i="17"/>
  <c r="F58" i="17"/>
  <c r="G58" i="17"/>
  <c r="K15" i="17"/>
  <c r="L15" i="17" s="1"/>
  <c r="L17" i="17"/>
  <c r="J17" i="17"/>
  <c r="B11" i="2"/>
  <c r="L19" i="5"/>
  <c r="J19" i="5" s="1"/>
  <c r="K19" i="5"/>
  <c r="I19" i="5" s="1"/>
  <c r="B11" i="5"/>
  <c r="C11" i="5"/>
  <c r="I10" i="5"/>
  <c r="I9" i="5"/>
  <c r="H10" i="5"/>
  <c r="H9" i="5"/>
  <c r="J43" i="14"/>
  <c r="E44" i="14" s="1"/>
  <c r="H43" i="14"/>
  <c r="G43" i="14"/>
  <c r="J39" i="14"/>
  <c r="H39" i="14"/>
  <c r="E39" i="14"/>
  <c r="J31" i="14"/>
  <c r="D32" i="14" s="1"/>
  <c r="C32" i="14"/>
  <c r="H31" i="14"/>
  <c r="G31" i="14"/>
  <c r="E28" i="14"/>
  <c r="F28" i="14"/>
  <c r="C28" i="14"/>
  <c r="H27" i="14"/>
  <c r="E27" i="14"/>
  <c r="H23" i="14"/>
  <c r="J11" i="14"/>
  <c r="D12" i="14" s="1"/>
  <c r="I7" i="14"/>
  <c r="H36" i="15"/>
  <c r="H35" i="15"/>
  <c r="H34" i="15"/>
  <c r="H33" i="15"/>
  <c r="D36" i="15"/>
  <c r="D35" i="15"/>
  <c r="D34" i="15"/>
  <c r="D33" i="15"/>
  <c r="G14" i="15"/>
  <c r="G13" i="15"/>
  <c r="G12" i="15"/>
  <c r="G11" i="15"/>
  <c r="C14" i="15"/>
  <c r="C13" i="15"/>
  <c r="C12" i="15"/>
  <c r="C11" i="15"/>
  <c r="H25" i="15"/>
  <c r="H24" i="15"/>
  <c r="H23" i="15"/>
  <c r="H22" i="15"/>
  <c r="D25" i="15"/>
  <c r="D24" i="15"/>
  <c r="D23" i="15"/>
  <c r="D22" i="15"/>
  <c r="H37" i="15"/>
  <c r="H32" i="15"/>
  <c r="H31" i="15"/>
  <c r="H30" i="15"/>
  <c r="H26" i="15"/>
  <c r="H21" i="15"/>
  <c r="H20" i="15"/>
  <c r="H19" i="15"/>
  <c r="G15" i="15"/>
  <c r="G10" i="15"/>
  <c r="G9" i="15"/>
  <c r="G8" i="15"/>
  <c r="D37" i="15"/>
  <c r="D32" i="15"/>
  <c r="D31" i="15"/>
  <c r="D30" i="15"/>
  <c r="D26" i="15"/>
  <c r="D21" i="15"/>
  <c r="D20" i="15"/>
  <c r="D19" i="15"/>
  <c r="C15" i="15"/>
  <c r="C10" i="15"/>
  <c r="C9" i="15"/>
  <c r="C8" i="15"/>
  <c r="E14" i="5"/>
  <c r="D13" i="5"/>
  <c r="E13" i="5"/>
  <c r="F13" i="5" s="1"/>
  <c r="F9" i="5" s="1"/>
  <c r="C66" i="7"/>
  <c r="C67" i="7" s="1"/>
  <c r="B66" i="7"/>
  <c r="D66" i="7" s="1"/>
  <c r="C65" i="7"/>
  <c r="B65" i="7"/>
  <c r="D65" i="7" s="1"/>
  <c r="D42" i="7"/>
  <c r="E41" i="7" s="1"/>
  <c r="E43" i="7"/>
  <c r="G43" i="7" s="1"/>
  <c r="G41" i="7" s="1"/>
  <c r="D41" i="7"/>
  <c r="B43" i="7"/>
  <c r="F43" i="7" s="1"/>
  <c r="H43" i="7" s="1"/>
  <c r="D36" i="7"/>
  <c r="D35" i="7"/>
  <c r="E35" i="7"/>
  <c r="E37" i="7" s="1"/>
  <c r="B37" i="7"/>
  <c r="F37" i="7" s="1"/>
  <c r="H37" i="7" s="1"/>
  <c r="D30" i="7"/>
  <c r="E29" i="7"/>
  <c r="E31" i="7" s="1"/>
  <c r="D29" i="7"/>
  <c r="B31" i="7"/>
  <c r="F31" i="7" s="1"/>
  <c r="H31" i="7" s="1"/>
  <c r="D24" i="7"/>
  <c r="E23" i="7" s="1"/>
  <c r="E25" i="7" s="1"/>
  <c r="D23" i="7"/>
  <c r="B25" i="7"/>
  <c r="F25" i="7" s="1"/>
  <c r="H25" i="7" s="1"/>
  <c r="D18" i="7"/>
  <c r="D17" i="7"/>
  <c r="E17" i="7"/>
  <c r="B58" i="7" s="1"/>
  <c r="B19" i="7"/>
  <c r="F19" i="7" s="1"/>
  <c r="E58" i="7" s="1"/>
  <c r="H19" i="7"/>
  <c r="D11" i="7"/>
  <c r="D10" i="7"/>
  <c r="B12" i="7"/>
  <c r="C43" i="7"/>
  <c r="D43" i="7" s="1"/>
  <c r="D68" i="7"/>
  <c r="C12" i="7"/>
  <c r="C19" i="7"/>
  <c r="D19" i="7" s="1"/>
  <c r="C25" i="7"/>
  <c r="D25" i="7" s="1"/>
  <c r="C31" i="7"/>
  <c r="D31" i="7" s="1"/>
  <c r="C37" i="7"/>
  <c r="D37" i="7" s="1"/>
  <c r="E40" i="8"/>
  <c r="D11" i="8"/>
  <c r="D17" i="8"/>
  <c r="D41" i="8"/>
  <c r="S40" i="8" s="1"/>
  <c r="D35" i="8"/>
  <c r="D29" i="8"/>
  <c r="D23" i="8"/>
  <c r="P40" i="8"/>
  <c r="K40" i="8"/>
  <c r="B54" i="8"/>
  <c r="B56" i="8" s="1"/>
  <c r="B55" i="8"/>
  <c r="D55" i="8" s="1"/>
  <c r="C54" i="8"/>
  <c r="D54" i="8" s="1"/>
  <c r="C55" i="8"/>
  <c r="D40" i="3"/>
  <c r="D39" i="3"/>
  <c r="C65" i="3"/>
  <c r="D64" i="3"/>
  <c r="D63" i="3"/>
  <c r="D34" i="3"/>
  <c r="D33" i="3"/>
  <c r="D28" i="3"/>
  <c r="D27" i="3"/>
  <c r="D22" i="3"/>
  <c r="D21" i="3"/>
  <c r="D16" i="3"/>
  <c r="D15" i="3"/>
  <c r="D10" i="3"/>
  <c r="D9" i="3"/>
  <c r="B11" i="6"/>
  <c r="C11" i="6"/>
  <c r="D10" i="6"/>
  <c r="D9" i="6"/>
  <c r="B17" i="6"/>
  <c r="C17" i="6"/>
  <c r="D16" i="6"/>
  <c r="D15" i="6"/>
  <c r="B23" i="6"/>
  <c r="C23" i="6"/>
  <c r="D22" i="6"/>
  <c r="D21" i="6"/>
  <c r="B29" i="6"/>
  <c r="C29" i="6"/>
  <c r="B58" i="6"/>
  <c r="B59" i="6"/>
  <c r="C59" i="6"/>
  <c r="C58" i="6"/>
  <c r="D34" i="6"/>
  <c r="D33" i="6"/>
  <c r="D28" i="6"/>
  <c r="D27" i="6"/>
  <c r="D9" i="2"/>
  <c r="E9" i="2"/>
  <c r="H9" i="2" s="1"/>
  <c r="J9" i="2"/>
  <c r="I9" i="2"/>
  <c r="C26" i="2"/>
  <c r="B25" i="2"/>
  <c r="B26" i="2" s="1"/>
  <c r="D10" i="2"/>
  <c r="C11" i="2"/>
  <c r="J10" i="2"/>
  <c r="I10" i="2"/>
  <c r="H18" i="17"/>
  <c r="K18" i="17"/>
  <c r="L18" i="17"/>
  <c r="J18" i="17"/>
  <c r="H16" i="17"/>
  <c r="J16" i="17"/>
  <c r="H14" i="17"/>
  <c r="K14" i="17"/>
  <c r="L14" i="17"/>
  <c r="J14" i="17"/>
  <c r="H8" i="19"/>
  <c r="H9" i="19" s="1"/>
  <c r="G30" i="19"/>
  <c r="D28" i="19"/>
  <c r="D31" i="9"/>
  <c r="E32" i="9" s="1"/>
  <c r="I19" i="19"/>
  <c r="J18" i="19"/>
  <c r="G40" i="19"/>
  <c r="F38" i="19"/>
  <c r="D38" i="19"/>
  <c r="F27" i="14"/>
  <c r="D28" i="14"/>
  <c r="F44" i="14"/>
  <c r="H58" i="17"/>
  <c r="I9" i="19"/>
  <c r="E10" i="19"/>
  <c r="Q40" i="8"/>
  <c r="R40" i="8" s="1"/>
  <c r="E28" i="19"/>
  <c r="F28" i="19"/>
  <c r="D30" i="19"/>
  <c r="E30" i="19"/>
  <c r="G29" i="19"/>
  <c r="G28" i="19"/>
  <c r="H29" i="19"/>
  <c r="F29" i="19"/>
  <c r="H38" i="19"/>
  <c r="G23" i="17"/>
  <c r="G24" i="17" s="1"/>
  <c r="G20" i="17"/>
  <c r="E38" i="19"/>
  <c r="D29" i="3"/>
  <c r="F29" i="3" s="1"/>
  <c r="H29" i="3" s="1"/>
  <c r="F12" i="7"/>
  <c r="N44" i="19"/>
  <c r="N45" i="19" s="1"/>
  <c r="H39" i="19"/>
  <c r="I38" i="19"/>
  <c r="G38" i="19"/>
  <c r="G39" i="19"/>
  <c r="F40" i="19"/>
  <c r="J38" i="19"/>
  <c r="D40" i="19"/>
  <c r="I39" i="19"/>
  <c r="F39" i="19"/>
  <c r="D39" i="19"/>
  <c r="H28" i="19"/>
  <c r="G22" i="17"/>
  <c r="F30" i="19"/>
  <c r="J28" i="19"/>
  <c r="I43" i="7"/>
  <c r="I29" i="19"/>
  <c r="L19" i="17"/>
  <c r="D36" i="8"/>
  <c r="J34" i="8" s="1"/>
  <c r="H57" i="17"/>
  <c r="F31" i="14"/>
  <c r="D40" i="14"/>
  <c r="H15" i="17"/>
  <c r="F32" i="14"/>
  <c r="H19" i="14"/>
  <c r="J19" i="14"/>
  <c r="D20" i="14" s="1"/>
  <c r="G33" i="19"/>
  <c r="H34" i="19"/>
  <c r="G43" i="19"/>
  <c r="J35" i="14"/>
  <c r="G35" i="14" s="1"/>
  <c r="G13" i="19"/>
  <c r="H14" i="19"/>
  <c r="D23" i="19"/>
  <c r="F25" i="19"/>
  <c r="I33" i="19"/>
  <c r="D35" i="19"/>
  <c r="I43" i="19"/>
  <c r="D45" i="19"/>
  <c r="J23" i="19"/>
  <c r="G25" i="19"/>
  <c r="J33" i="19"/>
  <c r="E35" i="19"/>
  <c r="E45" i="19"/>
  <c r="I13" i="19"/>
  <c r="F24" i="19"/>
  <c r="L29" i="3"/>
  <c r="E20" i="14"/>
  <c r="G19" i="14"/>
  <c r="C36" i="14"/>
  <c r="E35" i="14"/>
  <c r="P34" i="8"/>
  <c r="E63" i="3"/>
  <c r="E65" i="3" s="1"/>
  <c r="B65" i="3"/>
  <c r="D65" i="3" s="1"/>
  <c r="B24" i="5"/>
  <c r="G24" i="5" s="1"/>
  <c r="H24" i="5" s="1"/>
  <c r="D11" i="5"/>
  <c r="D15" i="5" s="1"/>
  <c r="D14" i="5"/>
  <c r="E15" i="5"/>
  <c r="E23" i="17"/>
  <c r="E24" i="17"/>
  <c r="E22" i="17"/>
  <c r="K11" i="17"/>
  <c r="L11" i="17" s="1"/>
  <c r="J11" i="17"/>
  <c r="K13" i="17"/>
  <c r="L13" i="17" s="1"/>
  <c r="F9" i="2"/>
  <c r="F37" i="22"/>
  <c r="C42" i="22" s="1"/>
  <c r="G20" i="22"/>
  <c r="D20" i="17"/>
  <c r="K10" i="17"/>
  <c r="L10" i="17" s="1"/>
  <c r="D22" i="17"/>
  <c r="C20" i="17"/>
  <c r="J10" i="17"/>
  <c r="J11" i="2"/>
  <c r="F11" i="21"/>
  <c r="F34" i="21" s="1"/>
  <c r="G28" i="22"/>
  <c r="G21" i="22"/>
  <c r="G18" i="22"/>
  <c r="G29" i="22"/>
  <c r="G14" i="22"/>
  <c r="G12" i="22"/>
  <c r="G22" i="22"/>
  <c r="G23" i="22"/>
  <c r="G16" i="22"/>
  <c r="G37" i="22"/>
  <c r="G15" i="22"/>
  <c r="G26" i="22"/>
  <c r="G24" i="22"/>
  <c r="G25" i="22"/>
  <c r="G27" i="22"/>
  <c r="E35" i="3"/>
  <c r="G36" i="3" s="1"/>
  <c r="G34" i="3" s="1"/>
  <c r="F35" i="3"/>
  <c r="H35" i="3" s="1"/>
  <c r="E39" i="3"/>
  <c r="E41" i="3" s="1"/>
  <c r="I41" i="3" s="1"/>
  <c r="C60" i="6"/>
  <c r="D58" i="6"/>
  <c r="C49" i="21"/>
  <c r="C50" i="21" s="1"/>
  <c r="B19" i="5"/>
  <c r="B20" i="5" s="1"/>
  <c r="H11" i="5"/>
  <c r="C27" i="5"/>
  <c r="C28" i="5"/>
  <c r="D28" i="5" s="1"/>
  <c r="I11" i="5"/>
  <c r="I11" i="2"/>
  <c r="C21" i="2"/>
  <c r="C32" i="9"/>
  <c r="E13" i="9"/>
  <c r="G13" i="9" s="1"/>
  <c r="B41" i="9"/>
  <c r="B31" i="9"/>
  <c r="I31" i="9"/>
  <c r="E30" i="9"/>
  <c r="G10" i="9"/>
  <c r="C35" i="9"/>
  <c r="F52" i="22"/>
  <c r="F53" i="22" s="1"/>
  <c r="E52" i="22"/>
  <c r="E53" i="22" s="1"/>
  <c r="C53" i="22"/>
  <c r="E55" i="22"/>
  <c r="G55" i="22" s="1"/>
  <c r="D27" i="5"/>
  <c r="C31" i="9"/>
  <c r="C22" i="17"/>
  <c r="H13" i="17"/>
  <c r="D11" i="3"/>
  <c r="E9" i="3" s="1"/>
  <c r="E11" i="3" s="1"/>
  <c r="F65" i="3"/>
  <c r="L11" i="3"/>
  <c r="F11" i="3"/>
  <c r="E54" i="3" s="1"/>
  <c r="B54" i="3"/>
  <c r="S16" i="8" l="1"/>
  <c r="Q16" i="8"/>
  <c r="R16" i="8" s="1"/>
  <c r="E16" i="8"/>
  <c r="E33" i="6"/>
  <c r="E35" i="6" s="1"/>
  <c r="G35" i="6" s="1"/>
  <c r="G33" i="6" s="1"/>
  <c r="F35" i="6"/>
  <c r="H35" i="6" s="1"/>
  <c r="L23" i="3"/>
  <c r="E21" i="3"/>
  <c r="E23" i="3" s="1"/>
  <c r="G23" i="3" s="1"/>
  <c r="G21" i="3" s="1"/>
  <c r="F23" i="3"/>
  <c r="H23" i="3" s="1"/>
  <c r="G37" i="7"/>
  <c r="G35" i="7" s="1"/>
  <c r="I37" i="7"/>
  <c r="G26" i="2"/>
  <c r="H26" i="2" s="1"/>
  <c r="H25" i="2" s="1"/>
  <c r="D26" i="2"/>
  <c r="D25" i="2" s="1"/>
  <c r="E26" i="2"/>
  <c r="E25" i="2" s="1"/>
  <c r="B16" i="9"/>
  <c r="C16" i="9" s="1"/>
  <c r="D29" i="5"/>
  <c r="F29" i="5" s="1"/>
  <c r="F13" i="9"/>
  <c r="G32" i="9"/>
  <c r="C29" i="5"/>
  <c r="F34" i="8"/>
  <c r="G34" i="8" s="1"/>
  <c r="G36" i="8" s="1"/>
  <c r="I37" i="8" s="1"/>
  <c r="I35" i="8" s="1"/>
  <c r="E19" i="14"/>
  <c r="E27" i="3"/>
  <c r="E29" i="3" s="1"/>
  <c r="G29" i="3" s="1"/>
  <c r="G27" i="3" s="1"/>
  <c r="G44" i="7"/>
  <c r="G42" i="7" s="1"/>
  <c r="G13" i="5"/>
  <c r="G9" i="5" s="1"/>
  <c r="H53" i="17"/>
  <c r="N40" i="19"/>
  <c r="D30" i="8"/>
  <c r="S28" i="8" s="1"/>
  <c r="D24" i="8"/>
  <c r="F7" i="20"/>
  <c r="D49" i="21"/>
  <c r="H36" i="8"/>
  <c r="F14" i="5"/>
  <c r="F10" i="5" s="1"/>
  <c r="J15" i="14"/>
  <c r="J23" i="14"/>
  <c r="C44" i="14"/>
  <c r="H56" i="17"/>
  <c r="N15" i="19"/>
  <c r="H43" i="19"/>
  <c r="Q28" i="8"/>
  <c r="R28" i="8" s="1"/>
  <c r="G35" i="3"/>
  <c r="G33" i="3" s="1"/>
  <c r="E42" i="9"/>
  <c r="B45" i="9" s="1"/>
  <c r="D45" i="9" s="1"/>
  <c r="Q34" i="8"/>
  <c r="R34" i="8" s="1"/>
  <c r="D59" i="6"/>
  <c r="F60" i="6" s="1"/>
  <c r="D29" i="6"/>
  <c r="D23" i="6"/>
  <c r="F67" i="7"/>
  <c r="D12" i="7"/>
  <c r="H15" i="14"/>
  <c r="E43" i="14"/>
  <c r="D44" i="14"/>
  <c r="F20" i="17"/>
  <c r="F23" i="17"/>
  <c r="F24" i="17" s="1"/>
  <c r="H55" i="17"/>
  <c r="H51" i="17"/>
  <c r="H59" i="17" s="1"/>
  <c r="H49" i="17"/>
  <c r="B23" i="9"/>
  <c r="D13" i="19"/>
  <c r="D14" i="19"/>
  <c r="G15" i="19"/>
  <c r="F34" i="19"/>
  <c r="D12" i="8"/>
  <c r="I8" i="20"/>
  <c r="H22" i="17"/>
  <c r="E10" i="7"/>
  <c r="E12" i="7" s="1"/>
  <c r="I31" i="7"/>
  <c r="G32" i="7"/>
  <c r="G30" i="7" s="1"/>
  <c r="G15" i="5"/>
  <c r="G11" i="5" s="1"/>
  <c r="F15" i="5"/>
  <c r="F11" i="5" s="1"/>
  <c r="G31" i="7"/>
  <c r="G29" i="7" s="1"/>
  <c r="F23" i="6"/>
  <c r="H23" i="6" s="1"/>
  <c r="E21" i="6"/>
  <c r="E23" i="6" s="1"/>
  <c r="D24" i="17"/>
  <c r="H24" i="17" s="1"/>
  <c r="G37" i="6"/>
  <c r="G34" i="6" s="1"/>
  <c r="I35" i="6"/>
  <c r="E57" i="7"/>
  <c r="E59" i="7" s="1"/>
  <c r="H12" i="7"/>
  <c r="H50" i="7" s="1"/>
  <c r="F50" i="7" s="1"/>
  <c r="C7" i="14"/>
  <c r="J7" i="14"/>
  <c r="H7" i="14"/>
  <c r="D20" i="5"/>
  <c r="D19" i="5" s="1"/>
  <c r="E20" i="5"/>
  <c r="E19" i="5" s="1"/>
  <c r="G20" i="5"/>
  <c r="H20" i="5" s="1"/>
  <c r="H19" i="5" s="1"/>
  <c r="I35" i="3"/>
  <c r="I23" i="3"/>
  <c r="J19" i="17"/>
  <c r="J20" i="17" s="1"/>
  <c r="D62" i="17" s="1"/>
  <c r="G26" i="7"/>
  <c r="G24" i="7" s="1"/>
  <c r="G25" i="7"/>
  <c r="G23" i="7" s="1"/>
  <c r="I25" i="7"/>
  <c r="E11" i="14"/>
  <c r="B35" i="9"/>
  <c r="D35" i="9" s="1"/>
  <c r="G24" i="3"/>
  <c r="G22" i="3" s="1"/>
  <c r="L35" i="3"/>
  <c r="D24" i="5"/>
  <c r="E34" i="8"/>
  <c r="E36" i="14"/>
  <c r="D36" i="14"/>
  <c r="F35" i="14"/>
  <c r="F36" i="14"/>
  <c r="G38" i="7"/>
  <c r="G36" i="7" s="1"/>
  <c r="H19" i="17"/>
  <c r="P10" i="8"/>
  <c r="E19" i="7"/>
  <c r="E40" i="14"/>
  <c r="F39" i="14"/>
  <c r="G39" i="14"/>
  <c r="C40" i="14"/>
  <c r="F40" i="14"/>
  <c r="F40" i="8"/>
  <c r="J40" i="8"/>
  <c r="L40" i="8" s="1"/>
  <c r="H42" i="8"/>
  <c r="Q10" i="8"/>
  <c r="L17" i="3"/>
  <c r="F17" i="3"/>
  <c r="E15" i="3"/>
  <c r="E34" i="21"/>
  <c r="C12" i="14"/>
  <c r="G11" i="14"/>
  <c r="E12" i="14"/>
  <c r="F11" i="14"/>
  <c r="E41" i="9"/>
  <c r="G30" i="9"/>
  <c r="G41" i="9" s="1"/>
  <c r="G9" i="2"/>
  <c r="E58" i="6"/>
  <c r="E60" i="6" s="1"/>
  <c r="I18" i="19"/>
  <c r="E18" i="19"/>
  <c r="D20" i="19"/>
  <c r="F19" i="19"/>
  <c r="G18" i="19"/>
  <c r="D18" i="19"/>
  <c r="D19" i="19"/>
  <c r="G19" i="19"/>
  <c r="H19" i="19"/>
  <c r="F20" i="19"/>
  <c r="K16" i="8"/>
  <c r="P16" i="8"/>
  <c r="F32" i="9"/>
  <c r="F30" i="9"/>
  <c r="F41" i="9" s="1"/>
  <c r="I29" i="3"/>
  <c r="G30" i="3"/>
  <c r="G28" i="3" s="1"/>
  <c r="H56" i="8"/>
  <c r="F12" i="14"/>
  <c r="E20" i="19"/>
  <c r="D11" i="6"/>
  <c r="J10" i="8"/>
  <c r="H18" i="8"/>
  <c r="C11" i="14"/>
  <c r="H11" i="14"/>
  <c r="N29" i="19"/>
  <c r="N30" i="19" s="1"/>
  <c r="H52" i="17"/>
  <c r="F10" i="2"/>
  <c r="C16" i="2" s="1"/>
  <c r="D11" i="2"/>
  <c r="B30" i="2" s="1"/>
  <c r="B34" i="2" s="1"/>
  <c r="F49" i="21"/>
  <c r="F50" i="21" s="1"/>
  <c r="B60" i="6"/>
  <c r="D60" i="6" s="1"/>
  <c r="E24" i="5"/>
  <c r="H18" i="19"/>
  <c r="G20" i="19"/>
  <c r="C56" i="8"/>
  <c r="D56" i="8" s="1"/>
  <c r="J16" i="8"/>
  <c r="L16" i="8" s="1"/>
  <c r="B67" i="7"/>
  <c r="D67" i="7" s="1"/>
  <c r="E24" i="14"/>
  <c r="D24" i="14"/>
  <c r="H12" i="17"/>
  <c r="K12" i="17"/>
  <c r="G41" i="3"/>
  <c r="G39" i="3" s="1"/>
  <c r="G42" i="3"/>
  <c r="G40" i="3" s="1"/>
  <c r="E10" i="2"/>
  <c r="I36" i="8"/>
  <c r="I34" i="8" s="1"/>
  <c r="F20" i="14"/>
  <c r="C20" i="14"/>
  <c r="F19" i="14"/>
  <c r="E65" i="7"/>
  <c r="E67" i="7" s="1"/>
  <c r="S34" i="8"/>
  <c r="K34" i="8"/>
  <c r="M34" i="8" s="1"/>
  <c r="F16" i="8"/>
  <c r="B57" i="7"/>
  <c r="B59" i="7" s="1"/>
  <c r="E29" i="9"/>
  <c r="D40" i="9"/>
  <c r="C45" i="9"/>
  <c r="G11" i="9"/>
  <c r="G14" i="5"/>
  <c r="G10" i="5" s="1"/>
  <c r="D17" i="6"/>
  <c r="E31" i="14"/>
  <c r="E32" i="14"/>
  <c r="H17" i="17"/>
  <c r="F23" i="19"/>
  <c r="I23" i="19"/>
  <c r="I24" i="19"/>
  <c r="H23" i="19"/>
  <c r="D24" i="19"/>
  <c r="E23" i="19"/>
  <c r="D25" i="19"/>
  <c r="G23" i="19"/>
  <c r="G44" i="19"/>
  <c r="F44" i="19"/>
  <c r="D44" i="19"/>
  <c r="G45" i="19"/>
  <c r="E43" i="19"/>
  <c r="H44" i="19"/>
  <c r="J43" i="19"/>
  <c r="I44" i="19"/>
  <c r="D43" i="19"/>
  <c r="F41" i="3"/>
  <c r="H41" i="3" s="1"/>
  <c r="L41" i="3"/>
  <c r="N10" i="19"/>
  <c r="D9" i="19" s="1"/>
  <c r="D10" i="19" s="1"/>
  <c r="N9" i="19"/>
  <c r="J8" i="19" s="1"/>
  <c r="E8" i="19" s="1"/>
  <c r="G17" i="22"/>
  <c r="G13" i="22"/>
  <c r="G19" i="22"/>
  <c r="I28" i="19"/>
  <c r="F43" i="14"/>
  <c r="D34" i="19"/>
  <c r="S10" i="8"/>
  <c r="H37" i="22"/>
  <c r="D42" i="22" s="1"/>
  <c r="E13" i="19"/>
  <c r="I14" i="19"/>
  <c r="N19" i="19"/>
  <c r="N20" i="19" s="1"/>
  <c r="N25" i="19"/>
  <c r="D33" i="19"/>
  <c r="I34" i="19"/>
  <c r="F13" i="19"/>
  <c r="E33" i="19"/>
  <c r="C35" i="14"/>
  <c r="F42" i="22"/>
  <c r="F43" i="22" s="1"/>
  <c r="E42" i="22"/>
  <c r="E43" i="22" s="1"/>
  <c r="E45" i="22"/>
  <c r="G45" i="22" s="1"/>
  <c r="C43" i="22"/>
  <c r="H11" i="3"/>
  <c r="G12" i="3"/>
  <c r="G10" i="3" s="1"/>
  <c r="D54" i="3" s="1"/>
  <c r="G11" i="3"/>
  <c r="G9" i="3" s="1"/>
  <c r="C54" i="3" s="1"/>
  <c r="E68" i="3"/>
  <c r="G68" i="3" s="1"/>
  <c r="G66" i="3"/>
  <c r="G64" i="3" s="1"/>
  <c r="G65" i="3"/>
  <c r="G63" i="3" s="1"/>
  <c r="N16" i="8" l="1"/>
  <c r="E23" i="14"/>
  <c r="F23" i="14"/>
  <c r="C24" i="14"/>
  <c r="F24" i="14"/>
  <c r="G23" i="14"/>
  <c r="E52" i="21"/>
  <c r="G52" i="21" s="1"/>
  <c r="E49" i="21"/>
  <c r="E50" i="21" s="1"/>
  <c r="H23" i="17"/>
  <c r="K10" i="8"/>
  <c r="N10" i="8" s="1"/>
  <c r="F10" i="8"/>
  <c r="E10" i="8"/>
  <c r="H12" i="8"/>
  <c r="E16" i="14"/>
  <c r="G15" i="14"/>
  <c r="C16" i="14"/>
  <c r="D16" i="14"/>
  <c r="E15" i="14"/>
  <c r="F15" i="14"/>
  <c r="F16" i="14"/>
  <c r="B24" i="9"/>
  <c r="H24" i="9" s="1"/>
  <c r="D24" i="9" s="1"/>
  <c r="H23" i="9"/>
  <c r="D23" i="9" s="1"/>
  <c r="F24" i="9" s="1"/>
  <c r="F29" i="6"/>
  <c r="H29" i="6" s="1"/>
  <c r="E27" i="6"/>
  <c r="E29" i="6" s="1"/>
  <c r="P22" i="8"/>
  <c r="E22" i="8"/>
  <c r="H24" i="8"/>
  <c r="Q22" i="8"/>
  <c r="R22" i="8" s="1"/>
  <c r="K22" i="8"/>
  <c r="F22" i="8"/>
  <c r="J22" i="8"/>
  <c r="H30" i="8"/>
  <c r="E28" i="8"/>
  <c r="K28" i="8"/>
  <c r="P28" i="8"/>
  <c r="F28" i="8"/>
  <c r="G28" i="8" s="1"/>
  <c r="G30" i="8" s="1"/>
  <c r="J28" i="8"/>
  <c r="J46" i="8" s="1"/>
  <c r="S22" i="8"/>
  <c r="S46" i="8" s="1"/>
  <c r="E54" i="8"/>
  <c r="F54" i="8"/>
  <c r="D64" i="17"/>
  <c r="D63" i="17"/>
  <c r="L12" i="17"/>
  <c r="L20" i="17" s="1"/>
  <c r="K20" i="17"/>
  <c r="F10" i="19"/>
  <c r="F9" i="19" s="1"/>
  <c r="G10" i="19"/>
  <c r="G9" i="19" s="1"/>
  <c r="G10" i="2"/>
  <c r="B16" i="2"/>
  <c r="H10" i="2"/>
  <c r="B20" i="2"/>
  <c r="B21" i="2" s="1"/>
  <c r="N40" i="8"/>
  <c r="K46" i="8"/>
  <c r="C30" i="2"/>
  <c r="C34" i="2" s="1"/>
  <c r="G40" i="8"/>
  <c r="G42" i="8" s="1"/>
  <c r="M40" i="8"/>
  <c r="L34" i="8"/>
  <c r="N34" i="8"/>
  <c r="E70" i="7"/>
  <c r="G70" i="7" s="1"/>
  <c r="G67" i="7"/>
  <c r="G65" i="7" s="1"/>
  <c r="G68" i="7"/>
  <c r="G66" i="7" s="1"/>
  <c r="E63" i="6"/>
  <c r="G63" i="6" s="1"/>
  <c r="G61" i="6"/>
  <c r="G59" i="6" s="1"/>
  <c r="G60" i="6"/>
  <c r="G58" i="6" s="1"/>
  <c r="G12" i="21"/>
  <c r="D39" i="21"/>
  <c r="G11" i="21"/>
  <c r="G34" i="21"/>
  <c r="C39" i="21"/>
  <c r="P46" i="8"/>
  <c r="B50" i="8" s="1"/>
  <c r="G23" i="6"/>
  <c r="G21" i="6" s="1"/>
  <c r="I23" i="6"/>
  <c r="G24" i="6"/>
  <c r="G22" i="6" s="1"/>
  <c r="B29" i="2"/>
  <c r="B33" i="2" s="1"/>
  <c r="F11" i="2"/>
  <c r="C29" i="2"/>
  <c r="C33" i="2" s="1"/>
  <c r="E11" i="2"/>
  <c r="F29" i="9"/>
  <c r="F40" i="9" s="1"/>
  <c r="G29" i="9"/>
  <c r="G40" i="9" s="1"/>
  <c r="E40" i="9"/>
  <c r="L47" i="3"/>
  <c r="B73" i="3" s="1"/>
  <c r="G12" i="7"/>
  <c r="G10" i="7" s="1"/>
  <c r="C57" i="7" s="1"/>
  <c r="G13" i="7"/>
  <c r="G11" i="7" s="1"/>
  <c r="D57" i="7" s="1"/>
  <c r="I12" i="7"/>
  <c r="L10" i="8"/>
  <c r="D59" i="7"/>
  <c r="E61" i="7"/>
  <c r="G61" i="7" s="1"/>
  <c r="C59" i="7"/>
  <c r="F11" i="6"/>
  <c r="E9" i="6"/>
  <c r="R10" i="8"/>
  <c r="R46" i="8" s="1"/>
  <c r="Q46" i="8"/>
  <c r="C8" i="14"/>
  <c r="F8" i="14" s="1"/>
  <c r="F7" i="14" s="1"/>
  <c r="D8" i="14"/>
  <c r="G7" i="14"/>
  <c r="E17" i="3"/>
  <c r="B55" i="3"/>
  <c r="B56" i="3" s="1"/>
  <c r="H20" i="17"/>
  <c r="H17" i="3"/>
  <c r="E55" i="3"/>
  <c r="E56" i="3" s="1"/>
  <c r="G8" i="19"/>
  <c r="F8" i="19"/>
  <c r="E15" i="6"/>
  <c r="F17" i="6"/>
  <c r="M16" i="8"/>
  <c r="G16" i="8"/>
  <c r="G18" i="8" s="1"/>
  <c r="G19" i="7"/>
  <c r="G17" i="7" s="1"/>
  <c r="C58" i="7" s="1"/>
  <c r="I19" i="7"/>
  <c r="G20" i="7"/>
  <c r="G18" i="7" s="1"/>
  <c r="D58" i="7" s="1"/>
  <c r="I11" i="3"/>
  <c r="I31" i="8" l="1"/>
  <c r="I29" i="8" s="1"/>
  <c r="I30" i="8"/>
  <c r="I28" i="8" s="1"/>
  <c r="I17" i="3"/>
  <c r="H47" i="3"/>
  <c r="F47" i="3" s="1"/>
  <c r="E8" i="14"/>
  <c r="E7" i="14" s="1"/>
  <c r="A46" i="8"/>
  <c r="C46" i="8" s="1"/>
  <c r="I29" i="6"/>
  <c r="G29" i="6"/>
  <c r="G27" i="6" s="1"/>
  <c r="G30" i="6"/>
  <c r="G28" i="6" s="1"/>
  <c r="E46" i="8"/>
  <c r="G46" i="8" s="1"/>
  <c r="G48" i="8" s="1"/>
  <c r="O40" i="8" s="1"/>
  <c r="N28" i="8"/>
  <c r="L28" i="8"/>
  <c r="M22" i="8"/>
  <c r="G22" i="8"/>
  <c r="G24" i="8" s="1"/>
  <c r="O22" i="8" s="1"/>
  <c r="L22" i="8"/>
  <c r="N22" i="8"/>
  <c r="N46" i="8" s="1"/>
  <c r="K48" i="8" s="1"/>
  <c r="M28" i="8"/>
  <c r="M46" i="8" s="1"/>
  <c r="L48" i="8" s="1"/>
  <c r="M10" i="8"/>
  <c r="G10" i="8"/>
  <c r="G12" i="8" s="1"/>
  <c r="F46" i="8"/>
  <c r="J48" i="7"/>
  <c r="J49" i="7"/>
  <c r="E42" i="21"/>
  <c r="G42" i="21" s="1"/>
  <c r="F39" i="21"/>
  <c r="F40" i="21" s="1"/>
  <c r="E39" i="21"/>
  <c r="E40" i="21" s="1"/>
  <c r="C40" i="21"/>
  <c r="I19" i="8"/>
  <c r="I17" i="8" s="1"/>
  <c r="I18" i="8"/>
  <c r="I16" i="8" s="1"/>
  <c r="F34" i="17"/>
  <c r="F45" i="17" s="1"/>
  <c r="C28" i="17"/>
  <c r="C39" i="17" s="1"/>
  <c r="D32" i="17"/>
  <c r="D43" i="17" s="1"/>
  <c r="G32" i="17"/>
  <c r="G43" i="17" s="1"/>
  <c r="D35" i="17"/>
  <c r="D46" i="17" s="1"/>
  <c r="G31" i="17"/>
  <c r="G42" i="17" s="1"/>
  <c r="E32" i="17"/>
  <c r="E43" i="17" s="1"/>
  <c r="D30" i="17"/>
  <c r="D41" i="17" s="1"/>
  <c r="C63" i="17"/>
  <c r="E63" i="17" s="1"/>
  <c r="F27" i="17"/>
  <c r="F38" i="17" s="1"/>
  <c r="C27" i="17"/>
  <c r="C38" i="17" s="1"/>
  <c r="E28" i="17"/>
  <c r="E39" i="17" s="1"/>
  <c r="G33" i="17"/>
  <c r="G44" i="17" s="1"/>
  <c r="C30" i="17"/>
  <c r="C41" i="17" s="1"/>
  <c r="D29" i="17"/>
  <c r="D40" i="17" s="1"/>
  <c r="C31" i="17"/>
  <c r="C42" i="17" s="1"/>
  <c r="F30" i="17"/>
  <c r="F41" i="17" s="1"/>
  <c r="C35" i="17"/>
  <c r="C46" i="17" s="1"/>
  <c r="E34" i="17"/>
  <c r="E45" i="17" s="1"/>
  <c r="E30" i="17"/>
  <c r="E41" i="17" s="1"/>
  <c r="E26" i="17"/>
  <c r="E37" i="17" s="1"/>
  <c r="F31" i="17"/>
  <c r="F42" i="17" s="1"/>
  <c r="G28" i="17"/>
  <c r="G39" i="17" s="1"/>
  <c r="F32" i="17"/>
  <c r="F43" i="17" s="1"/>
  <c r="F28" i="17"/>
  <c r="F39" i="17" s="1"/>
  <c r="E31" i="17"/>
  <c r="E42" i="17" s="1"/>
  <c r="E27" i="17"/>
  <c r="E38" i="17" s="1"/>
  <c r="C34" i="17"/>
  <c r="C45" i="17" s="1"/>
  <c r="H45" i="17" s="1"/>
  <c r="E29" i="17"/>
  <c r="E40" i="17" s="1"/>
  <c r="C26" i="17"/>
  <c r="C37" i="17" s="1"/>
  <c r="C33" i="17"/>
  <c r="C44" i="17" s="1"/>
  <c r="D31" i="17"/>
  <c r="D42" i="17" s="1"/>
  <c r="E35" i="17"/>
  <c r="E46" i="17" s="1"/>
  <c r="G34" i="17"/>
  <c r="G45" i="17" s="1"/>
  <c r="D28" i="17"/>
  <c r="D39" i="17" s="1"/>
  <c r="F33" i="17"/>
  <c r="F44" i="17" s="1"/>
  <c r="D26" i="17"/>
  <c r="D37" i="17" s="1"/>
  <c r="C32" i="17"/>
  <c r="C43" i="17" s="1"/>
  <c r="G35" i="17"/>
  <c r="G46" i="17" s="1"/>
  <c r="G30" i="17"/>
  <c r="G41" i="17" s="1"/>
  <c r="D33" i="17"/>
  <c r="D44" i="17" s="1"/>
  <c r="E33" i="17"/>
  <c r="E44" i="17" s="1"/>
  <c r="G26" i="17"/>
  <c r="G37" i="17" s="1"/>
  <c r="F35" i="17"/>
  <c r="F46" i="17" s="1"/>
  <c r="D34" i="17"/>
  <c r="D45" i="17" s="1"/>
  <c r="G29" i="17"/>
  <c r="G40" i="17" s="1"/>
  <c r="F29" i="17"/>
  <c r="F40" i="17" s="1"/>
  <c r="C29" i="17"/>
  <c r="C40" i="17" s="1"/>
  <c r="H40" i="17" s="1"/>
  <c r="G27" i="17"/>
  <c r="G38" i="17" s="1"/>
  <c r="D27" i="17"/>
  <c r="D38" i="17" s="1"/>
  <c r="F26" i="17"/>
  <c r="F37" i="17" s="1"/>
  <c r="C56" i="3"/>
  <c r="D56" i="3"/>
  <c r="E58" i="3"/>
  <c r="G58" i="3" s="1"/>
  <c r="D21" i="2"/>
  <c r="D20" i="2" s="1"/>
  <c r="G21" i="2"/>
  <c r="H21" i="2" s="1"/>
  <c r="H20" i="2" s="1"/>
  <c r="E21" i="2"/>
  <c r="E20" i="2" s="1"/>
  <c r="E49" i="6"/>
  <c r="H17" i="6"/>
  <c r="G18" i="3"/>
  <c r="G16" i="3" s="1"/>
  <c r="D55" i="3" s="1"/>
  <c r="G17" i="3"/>
  <c r="G15" i="3" s="1"/>
  <c r="C55" i="3" s="1"/>
  <c r="O28" i="8"/>
  <c r="L46" i="8"/>
  <c r="H11" i="2"/>
  <c r="G11" i="2"/>
  <c r="B50" i="6"/>
  <c r="E11" i="6"/>
  <c r="E33" i="2"/>
  <c r="E34" i="2" s="1"/>
  <c r="I43" i="8"/>
  <c r="I42" i="8"/>
  <c r="I40" i="8" s="1"/>
  <c r="I44" i="8"/>
  <c r="I41" i="8" s="1"/>
  <c r="E17" i="6"/>
  <c r="B49" i="6"/>
  <c r="B51" i="6" s="1"/>
  <c r="G16" i="2"/>
  <c r="H16" i="2" s="1"/>
  <c r="D16" i="2"/>
  <c r="E16" i="2"/>
  <c r="E50" i="6"/>
  <c r="H11" i="6"/>
  <c r="H41" i="6" s="1"/>
  <c r="F41" i="6" s="1"/>
  <c r="G54" i="8"/>
  <c r="G56" i="8" s="1"/>
  <c r="J45" i="3"/>
  <c r="J46" i="3"/>
  <c r="H42" i="17" l="1"/>
  <c r="O34" i="8"/>
  <c r="H38" i="17"/>
  <c r="O16" i="8"/>
  <c r="I12" i="8"/>
  <c r="I10" i="8" s="1"/>
  <c r="I13" i="8"/>
  <c r="I11" i="8" s="1"/>
  <c r="O10" i="8"/>
  <c r="O46" i="8" s="1"/>
  <c r="A50" i="8" s="1"/>
  <c r="C50" i="8" s="1"/>
  <c r="I25" i="8"/>
  <c r="I23" i="8" s="1"/>
  <c r="I24" i="8"/>
  <c r="I22" i="8" s="1"/>
  <c r="J48" i="8"/>
  <c r="H48" i="8" s="1"/>
  <c r="I48" i="8" s="1"/>
  <c r="I46" i="8" s="1"/>
  <c r="T46" i="8"/>
  <c r="G12" i="6"/>
  <c r="G10" i="6" s="1"/>
  <c r="D50" i="6" s="1"/>
  <c r="I11" i="6"/>
  <c r="G11" i="6"/>
  <c r="G9" i="6" s="1"/>
  <c r="C50" i="6" s="1"/>
  <c r="I49" i="8"/>
  <c r="I47" i="8" s="1"/>
  <c r="H44" i="17"/>
  <c r="I47" i="3"/>
  <c r="E47" i="3" s="1"/>
  <c r="K17" i="3" s="1"/>
  <c r="G17" i="6"/>
  <c r="G15" i="6" s="1"/>
  <c r="C49" i="6" s="1"/>
  <c r="I17" i="6"/>
  <c r="G18" i="6"/>
  <c r="G16" i="6" s="1"/>
  <c r="D49" i="6" s="1"/>
  <c r="H43" i="17"/>
  <c r="H37" i="17"/>
  <c r="H41" i="17"/>
  <c r="I56" i="8"/>
  <c r="I54" i="8" s="1"/>
  <c r="I57" i="8"/>
  <c r="I55" i="8" s="1"/>
  <c r="H46" i="17"/>
  <c r="H39" i="17"/>
  <c r="E51" i="6"/>
  <c r="C51" i="6" s="1"/>
  <c r="I50" i="7"/>
  <c r="E50" i="7" s="1"/>
  <c r="K35" i="3"/>
  <c r="K41" i="3"/>
  <c r="G48" i="3"/>
  <c r="G46" i="3" s="1"/>
  <c r="K29" i="3"/>
  <c r="E49" i="3"/>
  <c r="G49" i="3" s="1"/>
  <c r="E53" i="6" l="1"/>
  <c r="G53" i="6" s="1"/>
  <c r="E53" i="7"/>
  <c r="G53" i="7" s="1"/>
  <c r="G51" i="7"/>
  <c r="G49" i="7" s="1"/>
  <c r="G50" i="7"/>
  <c r="G48" i="7" s="1"/>
  <c r="E48" i="7"/>
  <c r="J40" i="6"/>
  <c r="J39" i="6"/>
  <c r="K11" i="3"/>
  <c r="K47" i="3" s="1"/>
  <c r="A73" i="3" s="1"/>
  <c r="C73" i="3" s="1"/>
  <c r="E45" i="3"/>
  <c r="G47" i="3"/>
  <c r="G45" i="3" s="1"/>
  <c r="D51" i="6"/>
  <c r="K23" i="3"/>
  <c r="H47" i="17"/>
  <c r="C62" i="17" s="1"/>
  <c r="I41" i="6" l="1"/>
  <c r="E41" i="6" s="1"/>
  <c r="E62" i="17"/>
  <c r="C64" i="17"/>
  <c r="E64" i="17" s="1"/>
  <c r="E39" i="6" l="1"/>
  <c r="E44" i="6"/>
  <c r="G44" i="6" s="1"/>
  <c r="G42" i="6"/>
  <c r="G40" i="6" s="1"/>
  <c r="G41" i="6"/>
  <c r="G39" i="6" s="1"/>
</calcChain>
</file>

<file path=xl/sharedStrings.xml><?xml version="1.0" encoding="utf-8"?>
<sst xmlns="http://schemas.openxmlformats.org/spreadsheetml/2006/main" count="1052" uniqueCount="291">
  <si>
    <t>+</t>
  </si>
  <si>
    <t>Cases</t>
  </si>
  <si>
    <t>Ktrl.</t>
  </si>
  <si>
    <t>OR</t>
  </si>
  <si>
    <t>SE</t>
  </si>
  <si>
    <t>CI</t>
  </si>
  <si>
    <t>Outcome</t>
  </si>
  <si>
    <t>RR</t>
  </si>
  <si>
    <t>W=1/se^2</t>
  </si>
  <si>
    <t>lnOR*W</t>
  </si>
  <si>
    <t>Events</t>
  </si>
  <si>
    <t>Time</t>
  </si>
  <si>
    <t>Rate</t>
  </si>
  <si>
    <t>per:</t>
  </si>
  <si>
    <t>IRR</t>
  </si>
  <si>
    <t>Chi^2</t>
  </si>
  <si>
    <t>per</t>
  </si>
  <si>
    <t>RD</t>
  </si>
  <si>
    <t>95% CI</t>
  </si>
  <si>
    <t>IRD</t>
  </si>
  <si>
    <t>lnRR*W</t>
  </si>
  <si>
    <t>lnIRR*W</t>
  </si>
  <si>
    <t>z =</t>
  </si>
  <si>
    <t>Chi^2 =</t>
  </si>
  <si>
    <t>Risk</t>
  </si>
  <si>
    <t>Stratified analysis</t>
  </si>
  <si>
    <t>Weighted estimate</t>
  </si>
  <si>
    <t>Crude RR</t>
  </si>
  <si>
    <t>Rates per</t>
  </si>
  <si>
    <t>P</t>
  </si>
  <si>
    <t>Q</t>
  </si>
  <si>
    <t>GP</t>
  </si>
  <si>
    <t>HQ</t>
  </si>
  <si>
    <t>x1</t>
  </si>
  <si>
    <t>x2</t>
  </si>
  <si>
    <t>x3</t>
  </si>
  <si>
    <t>GQ+HP</t>
  </si>
  <si>
    <t>N</t>
  </si>
  <si>
    <t>mean</t>
  </si>
  <si>
    <t>SD</t>
  </si>
  <si>
    <t>Exposed</t>
  </si>
  <si>
    <t>Means</t>
  </si>
  <si>
    <t>Descriptive statistics</t>
  </si>
  <si>
    <t>Proportions</t>
  </si>
  <si>
    <t>Odds</t>
  </si>
  <si>
    <t>Rates</t>
  </si>
  <si>
    <t>Stratified (Mantel-Haenszel)</t>
  </si>
  <si>
    <t>Simple comparison</t>
  </si>
  <si>
    <t>Mean</t>
  </si>
  <si>
    <t>z</t>
  </si>
  <si>
    <t>p</t>
  </si>
  <si>
    <t>Test for homogeneity</t>
  </si>
  <si>
    <t>df</t>
  </si>
  <si>
    <t xml:space="preserve">Chi^2  </t>
  </si>
  <si>
    <t>Total</t>
  </si>
  <si>
    <t>Homogen</t>
  </si>
  <si>
    <t>Crude estimate</t>
  </si>
  <si>
    <t>a1*b0/n</t>
  </si>
  <si>
    <t>a0*b1/n</t>
  </si>
  <si>
    <t>U</t>
  </si>
  <si>
    <t>E(a1)</t>
  </si>
  <si>
    <t>V</t>
  </si>
  <si>
    <t>df+1</t>
  </si>
  <si>
    <t>Test for OR=1 (M-H)</t>
  </si>
  <si>
    <t>S</t>
  </si>
  <si>
    <t>homogen</t>
  </si>
  <si>
    <t>Expected values</t>
  </si>
  <si>
    <t>Chi^2 from each cell</t>
  </si>
  <si>
    <t>Expected</t>
  </si>
  <si>
    <t xml:space="preserve">Rates per </t>
  </si>
  <si>
    <t>ln-transformed:</t>
  </si>
  <si>
    <t>t</t>
  </si>
  <si>
    <t>Find P-value from statistic</t>
  </si>
  <si>
    <t>z-distribution:</t>
  </si>
  <si>
    <t>t-distribution:</t>
  </si>
  <si>
    <t>Exact 95% CI</t>
  </si>
  <si>
    <t xml:space="preserve">       </t>
  </si>
  <si>
    <t>Approx. 95% CI</t>
  </si>
  <si>
    <t>b</t>
  </si>
  <si>
    <t>valid</t>
  </si>
  <si>
    <t>valid1</t>
  </si>
  <si>
    <t>valid2</t>
  </si>
  <si>
    <t>The sheets are write-protected, meaning that you cannot by mistake delete formula etc.</t>
  </si>
  <si>
    <t xml:space="preserve">You are allowed to write in the </t>
  </si>
  <si>
    <t>yellow</t>
  </si>
  <si>
    <t xml:space="preserve"> cells only.</t>
  </si>
  <si>
    <t>Text</t>
  </si>
  <si>
    <t>rækker</t>
  </si>
  <si>
    <t>Søjler</t>
  </si>
  <si>
    <t>Forventet</t>
  </si>
  <si>
    <t>Deviation from trend</t>
  </si>
  <si>
    <t>sx</t>
  </si>
  <si>
    <t>sx2</t>
  </si>
  <si>
    <t>sy</t>
  </si>
  <si>
    <t>sy2</t>
  </si>
  <si>
    <t>sxy</t>
  </si>
  <si>
    <t>Pearson chi^2</t>
  </si>
  <si>
    <t>Chi^2 for trend</t>
  </si>
  <si>
    <t>Chi-square test</t>
  </si>
  <si>
    <t>The trend test is only relevant with ordinal (rank) scales.</t>
  </si>
  <si>
    <t>(and so may the deviation from trend)</t>
  </si>
  <si>
    <t>Trend test may be irrelevant</t>
  </si>
  <si>
    <t>z-test:</t>
  </si>
  <si>
    <t>F(lower):</t>
  </si>
  <si>
    <t>F(upper):</t>
  </si>
  <si>
    <t>P(lower):</t>
  </si>
  <si>
    <t>P(upper):</t>
  </si>
  <si>
    <t>Difference</t>
  </si>
  <si>
    <t>Test for equal SDs:</t>
  </si>
  <si>
    <t>(pooled SD)</t>
  </si>
  <si>
    <t>q</t>
  </si>
  <si>
    <t>odds</t>
  </si>
  <si>
    <t>Proportion:</t>
  </si>
  <si>
    <t>Odds:</t>
  </si>
  <si>
    <t>ln(Odds):</t>
  </si>
  <si>
    <t>Proportions per:</t>
  </si>
  <si>
    <t>Events:</t>
  </si>
  <si>
    <t>Observations:</t>
  </si>
  <si>
    <t>Estimate</t>
  </si>
  <si>
    <t>P =</t>
  </si>
  <si>
    <t>Ctrl.</t>
  </si>
  <si>
    <r>
      <t>χ</t>
    </r>
    <r>
      <rPr>
        <b/>
        <sz val="9"/>
        <rFont val="Arial"/>
        <family val="2"/>
      </rPr>
      <t>² distribution:</t>
    </r>
  </si>
  <si>
    <r>
      <t>χ</t>
    </r>
    <r>
      <rPr>
        <sz val="9"/>
        <rFont val="Arial"/>
        <family val="2"/>
      </rPr>
      <t>²</t>
    </r>
  </si>
  <si>
    <t>Chi-squared test</t>
  </si>
  <si>
    <t>Smoking and hip fractures</t>
  </si>
  <si>
    <t>Exp.</t>
  </si>
  <si>
    <t>Relative risk</t>
  </si>
  <si>
    <t>Odds ratio</t>
  </si>
  <si>
    <t>Risk estimates are invalid for case-control designs</t>
  </si>
  <si>
    <t>Incidence rate ratio</t>
  </si>
  <si>
    <t>Rothman (1986, p.185)</t>
  </si>
  <si>
    <t>Male vs. female mortality; patients with trigeminal neuralgia</t>
  </si>
  <si>
    <t>Tolbutamide and mortality, stratified for age</t>
  </si>
  <si>
    <t>Spermicide use and Down's syndrome, stratified by maternal age</t>
  </si>
  <si>
    <t>Age 35+</t>
  </si>
  <si>
    <t>Age &lt; 35</t>
  </si>
  <si>
    <t>EpiBasic may be downloaded from:</t>
  </si>
  <si>
    <t>You download two files:</t>
  </si>
  <si>
    <t>Find statistic from significance level</t>
  </si>
  <si>
    <t>two-sided P-values are used.</t>
  </si>
  <si>
    <t>d.f.</t>
  </si>
  <si>
    <t>Note:</t>
  </si>
  <si>
    <r>
      <t xml:space="preserve">For the z and t distributions and for the </t>
    </r>
    <r>
      <rPr>
        <b/>
        <sz val="10"/>
        <rFont val="Times New Roman"/>
        <family val="1"/>
      </rPr>
      <t>χ²</t>
    </r>
    <r>
      <rPr>
        <b/>
        <sz val="10"/>
        <rFont val="Arial"/>
        <family val="2"/>
      </rPr>
      <t xml:space="preserve"> distribution with 1 d.f.,</t>
    </r>
  </si>
  <si>
    <t>95% PI</t>
  </si>
  <si>
    <t>t(d.f.;0.05)</t>
  </si>
  <si>
    <t>t distribution</t>
  </si>
  <si>
    <t>Normal distribution</t>
  </si>
  <si>
    <t>D means</t>
  </si>
  <si>
    <t>D prop</t>
  </si>
  <si>
    <t>Description: Normal distribution</t>
  </si>
  <si>
    <t>Description: Proportions and odds</t>
  </si>
  <si>
    <t>D rates</t>
  </si>
  <si>
    <t>Description: Rates</t>
  </si>
  <si>
    <t>C means</t>
  </si>
  <si>
    <t>Comparison: Means</t>
  </si>
  <si>
    <t>C risk</t>
  </si>
  <si>
    <t>Rate ratio and rate difference</t>
  </si>
  <si>
    <t>Stratified analysis: odds ratio</t>
  </si>
  <si>
    <t>Strat RR</t>
  </si>
  <si>
    <t>Stratified analysis: relative risk</t>
  </si>
  <si>
    <t>Strat IRR</t>
  </si>
  <si>
    <t>Stratified analysis: rate ratio</t>
  </si>
  <si>
    <t>C rates</t>
  </si>
  <si>
    <t>MH OR</t>
  </si>
  <si>
    <t>Mantel-Haenszel stratified analysis: Odds ratio</t>
  </si>
  <si>
    <t>Chisq</t>
  </si>
  <si>
    <t>Weight</t>
  </si>
  <si>
    <t>Stratified analysis of any kind of estimate</t>
  </si>
  <si>
    <t>Str RR</t>
  </si>
  <si>
    <t>Str OR</t>
  </si>
  <si>
    <t>Str IRR</t>
  </si>
  <si>
    <t>Stratum</t>
  </si>
  <si>
    <t>Weight × estimate</t>
  </si>
  <si>
    <t>Sum</t>
  </si>
  <si>
    <t>Relative weight</t>
  </si>
  <si>
    <t>Str any</t>
  </si>
  <si>
    <t>Each analysis page name has a prefix; the meaning is:</t>
  </si>
  <si>
    <r>
      <t xml:space="preserve">D:   </t>
    </r>
    <r>
      <rPr>
        <sz val="10"/>
        <rFont val="Arial"/>
        <family val="2"/>
      </rPr>
      <t xml:space="preserve">  Descriptive statistics</t>
    </r>
  </si>
  <si>
    <r>
      <t xml:space="preserve">C:   </t>
    </r>
    <r>
      <rPr>
        <sz val="10"/>
        <rFont val="Arial"/>
        <family val="2"/>
      </rPr>
      <t xml:space="preserve">  Comparative statistics</t>
    </r>
  </si>
  <si>
    <r>
      <t xml:space="preserve">Str: </t>
    </r>
    <r>
      <rPr>
        <sz val="10"/>
        <rFont val="Arial"/>
        <family val="2"/>
      </rPr>
      <t xml:space="preserve">  Stratified analysis</t>
    </r>
  </si>
  <si>
    <t>Tables</t>
  </si>
  <si>
    <t>Statistical tables</t>
  </si>
  <si>
    <t>Trend score:</t>
  </si>
  <si>
    <t>Trend score</t>
  </si>
  <si>
    <t>The trend scores are used for the trend test; you may change them yourself.</t>
  </si>
  <si>
    <t>WEIGHTED ESTIMATE:</t>
  </si>
  <si>
    <t>Start</t>
  </si>
  <si>
    <t>Overall test for homogeneity</t>
  </si>
  <si>
    <t>SE ln(OR)</t>
  </si>
  <si>
    <t>Risk difference per</t>
  </si>
  <si>
    <t>Incidence rate difference per</t>
  </si>
  <si>
    <r>
      <t>MH:</t>
    </r>
    <r>
      <rPr>
        <sz val="10"/>
        <rFont val="Arial"/>
        <family val="2"/>
      </rPr>
      <t xml:space="preserve">  Stratified analysis a.m. Mantel-Haenszel</t>
    </r>
  </si>
  <si>
    <t>In many sheets you find cells with</t>
  </si>
  <si>
    <t>italic</t>
  </si>
  <si>
    <t>typeface.</t>
  </si>
  <si>
    <t>They contain intermediate calculations on a log scale.</t>
  </si>
  <si>
    <t>EpiBasic.pdf</t>
  </si>
  <si>
    <t xml:space="preserve"> (help and documentation)</t>
  </si>
  <si>
    <t xml:space="preserve"> (this workbook)</t>
  </si>
  <si>
    <t>Read more in EpiBasic.pdf.</t>
  </si>
  <si>
    <t>var</t>
  </si>
  <si>
    <t>(W*SE)^2</t>
  </si>
  <si>
    <t>Weighted combinations of estimates with</t>
  </si>
  <si>
    <t>Weighted</t>
  </si>
  <si>
    <t>Weighted average</t>
  </si>
  <si>
    <t>Group</t>
  </si>
  <si>
    <t>Ref</t>
  </si>
  <si>
    <t>Comparison: Risk difference, risk ratio, odds ratio</t>
  </si>
  <si>
    <t>Hypotese</t>
  </si>
  <si>
    <t>pl</t>
  </si>
  <si>
    <t>ph</t>
  </si>
  <si>
    <t>ref</t>
  </si>
  <si>
    <t>group</t>
  </si>
  <si>
    <t xml:space="preserve"> asumming equal SDs:</t>
  </si>
  <si>
    <t>t-test</t>
  </si>
  <si>
    <t>not asuming equal SDs:</t>
  </si>
  <si>
    <t>using 1/se^2 as weights</t>
  </si>
  <si>
    <t>Hypothesis: RR =</t>
  </si>
  <si>
    <t>Hypothesis =</t>
  </si>
  <si>
    <t>Hypothesis:difference =</t>
  </si>
  <si>
    <t>Exponentialized</t>
  </si>
  <si>
    <t>Exponentialised</t>
  </si>
  <si>
    <t>Crude OR</t>
  </si>
  <si>
    <t>Hypothesis: OR =</t>
  </si>
  <si>
    <t>Comparing the OR in  two strata</t>
  </si>
  <si>
    <t>Comparing the RR in  two strata</t>
  </si>
  <si>
    <t>Age &lt;55</t>
  </si>
  <si>
    <t>Ratio</t>
  </si>
  <si>
    <t>Hypothesis: Ratio =</t>
  </si>
  <si>
    <t>Hypothesis: Ratio=</t>
  </si>
  <si>
    <t>NR</t>
  </si>
  <si>
    <t>Betegnelse</t>
  </si>
  <si>
    <t>Comparison of two strata:</t>
  </si>
  <si>
    <t>Comparison of  two strata:</t>
  </si>
  <si>
    <t>Favrskov</t>
  </si>
  <si>
    <t>Hedensted</t>
  </si>
  <si>
    <t>Herning</t>
  </si>
  <si>
    <t>Holstebro</t>
  </si>
  <si>
    <t>Horsens</t>
  </si>
  <si>
    <t>Ikast-Brande</t>
  </si>
  <si>
    <t>Lemvig</t>
  </si>
  <si>
    <t>Norddjurs</t>
  </si>
  <si>
    <t>Odder</t>
  </si>
  <si>
    <t>Randers</t>
  </si>
  <si>
    <t>Ringkøbing-Skjern</t>
  </si>
  <si>
    <t>Samsø</t>
  </si>
  <si>
    <t>Silkeborg</t>
  </si>
  <si>
    <t>Skanderborg</t>
  </si>
  <si>
    <t>Skive</t>
  </si>
  <si>
    <t>Struer</t>
  </si>
  <si>
    <t>Syddjurs</t>
  </si>
  <si>
    <t>Viborg</t>
  </si>
  <si>
    <t>Aarhus</t>
  </si>
  <si>
    <t>Crude IRR</t>
  </si>
  <si>
    <t>Mænd</t>
  </si>
  <si>
    <t>Kvinder</t>
  </si>
  <si>
    <t>Small</t>
  </si>
  <si>
    <t>Immediate</t>
  </si>
  <si>
    <t>Large</t>
  </si>
  <si>
    <t>12+ years</t>
  </si>
  <si>
    <t>&lt;12 years</t>
  </si>
  <si>
    <t>Kirkwood &amp; Sterne (2003, example 17.4)</t>
  </si>
  <si>
    <t>Hypothesis</t>
  </si>
  <si>
    <t>Juul (2012, Table 4-7)</t>
  </si>
  <si>
    <t>Not eating fish and risk of preterm birth</t>
  </si>
  <si>
    <t>Juul (2012, Table 4-4)</t>
  </si>
  <si>
    <t>Juul (2012, Table 4-1)</t>
  </si>
  <si>
    <t>(May be irrelevant)</t>
  </si>
  <si>
    <t>Rothman, Greenland &amp; Lash (2008, p. 260)</t>
  </si>
  <si>
    <t>Tolbutamide and mortality, stratified by age</t>
  </si>
  <si>
    <t>Rothman, Greenland &amp; Lash (2008, p. 276)</t>
  </si>
  <si>
    <t>Lung function (FVC) among male and female students</t>
  </si>
  <si>
    <t>Juul (2012, tabel 8-4)</t>
  </si>
  <si>
    <t>Age &lt;35</t>
  </si>
  <si>
    <t>specified weights</t>
  </si>
  <si>
    <t xml:space="preserve">Stratificeret analyse af regressionskoefficienter: FVC pr. cm højde, stratificeret for køn. </t>
  </si>
  <si>
    <t>(May be irrrelevant)</t>
  </si>
  <si>
    <t>Hypothesis: IRR =</t>
  </si>
  <si>
    <t>Comparing the IRR in two strata</t>
  </si>
  <si>
    <t>Age 65+</t>
  </si>
  <si>
    <t>Age &lt; 65</t>
  </si>
  <si>
    <t>EpiBasic version 3.0</t>
  </si>
  <si>
    <t>Svend Juul og Morten Frydenberg 2013</t>
  </si>
  <si>
    <t>EpiBasic.xlsx</t>
  </si>
  <si>
    <t>Triceps skin fold thickness and age at menarche</t>
  </si>
  <si>
    <t>Hypothesis: Average =</t>
  </si>
  <si>
    <t>Hypothesis: Difference =</t>
  </si>
  <si>
    <t>Mean BMI weighted by population size; municipalities in Central Denmark Region</t>
  </si>
  <si>
    <t>http://ph.au.dk/uddannelse/software</t>
  </si>
  <si>
    <t>SE ln(IRR)</t>
  </si>
  <si>
    <t>Version 2.12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</si>
</sst>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64" formatCode="_(* #,##0.00_);_(* \(#,##0.00\);_(* &quot;-&quot;??_);_(@_)"/>
    <numFmt numFmtId="165" formatCode="0.0000"/>
    <numFmt numFmtId="166" formatCode="0.00000"/>
    <numFmt numFmtId="167" formatCode="0.000"/>
    <numFmt numFmtId="168" formatCode="0.000000"/>
    <numFmt numFmtId="169" formatCode="#,##0.000"/>
    <numFmt numFmtId="170" formatCode="0.0"/>
    <numFmt numFmtId="171" formatCode="#,##0.0000"/>
    <numFmt numFmtId="172" formatCode="#,##0.00000"/>
    <numFmt numFmtId="173" formatCode="0.000%"/>
  </numFmts>
  <fonts count="2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8"/>
      <name val="Arial"/>
      <family val="2"/>
    </font>
    <font>
      <sz val="12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i/>
      <sz val="9"/>
      <name val="Arial"/>
      <family val="2"/>
    </font>
    <font>
      <b/>
      <sz val="9"/>
      <name val="Arial"/>
      <family val="2"/>
    </font>
    <font>
      <b/>
      <sz val="9"/>
      <name val="Times New Roman"/>
      <family val="1"/>
    </font>
    <font>
      <sz val="9"/>
      <name val="Times New Roman"/>
      <family val="1"/>
    </font>
    <font>
      <b/>
      <sz val="10"/>
      <name val="Arial"/>
      <family val="2"/>
    </font>
    <font>
      <b/>
      <sz val="10"/>
      <name val="Times New Roman"/>
      <family val="1"/>
    </font>
    <font>
      <b/>
      <u/>
      <sz val="10"/>
      <color indexed="12"/>
      <name val="Arial"/>
      <family val="2"/>
    </font>
    <font>
      <sz val="9"/>
      <color indexed="55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</fills>
  <borders count="58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545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167" fontId="0" fillId="0" borderId="0" xfId="0" applyNumberFormat="1" applyAlignment="1">
      <alignment horizontal="center"/>
    </xf>
    <xf numFmtId="0" fontId="3" fillId="0" borderId="0" xfId="0" applyFont="1" applyFill="1" applyBorder="1" applyAlignment="1">
      <alignment horizontal="center"/>
    </xf>
    <xf numFmtId="165" fontId="0" fillId="0" borderId="0" xfId="0" applyNumberFormat="1" applyAlignment="1">
      <alignment horizontal="center"/>
    </xf>
    <xf numFmtId="0" fontId="2" fillId="0" borderId="0" xfId="0" applyFont="1"/>
    <xf numFmtId="165" fontId="4" fillId="0" borderId="0" xfId="0" applyNumberFormat="1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5" fillId="0" borderId="0" xfId="0" applyFont="1"/>
    <xf numFmtId="2" fontId="0" fillId="0" borderId="0" xfId="0" applyNumberFormat="1"/>
    <xf numFmtId="168" fontId="0" fillId="0" borderId="0" xfId="0" applyNumberFormat="1"/>
    <xf numFmtId="1" fontId="0" fillId="0" borderId="0" xfId="0" applyNumberFormat="1" applyAlignment="1">
      <alignment horizontal="center"/>
    </xf>
    <xf numFmtId="0" fontId="4" fillId="0" borderId="0" xfId="0" applyFont="1"/>
    <xf numFmtId="166" fontId="3" fillId="0" borderId="0" xfId="0" applyNumberFormat="1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168" fontId="3" fillId="0" borderId="0" xfId="0" applyNumberFormat="1" applyFont="1" applyBorder="1" applyAlignment="1">
      <alignment horizontal="center"/>
    </xf>
    <xf numFmtId="0" fontId="10" fillId="0" borderId="0" xfId="0" applyFont="1"/>
    <xf numFmtId="0" fontId="11" fillId="0" borderId="0" xfId="0" applyFont="1"/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3" fontId="10" fillId="2" borderId="3" xfId="0" applyNumberFormat="1" applyFont="1" applyFill="1" applyBorder="1" applyAlignment="1" applyProtection="1">
      <alignment horizontal="center"/>
      <protection locked="0"/>
    </xf>
    <xf numFmtId="166" fontId="10" fillId="0" borderId="0" xfId="0" applyNumberFormat="1" applyFont="1" applyBorder="1" applyAlignment="1">
      <alignment horizontal="center"/>
    </xf>
    <xf numFmtId="166" fontId="10" fillId="0" borderId="7" xfId="0" applyNumberFormat="1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166" fontId="10" fillId="0" borderId="9" xfId="0" applyNumberFormat="1" applyFont="1" applyBorder="1" applyAlignment="1">
      <alignment horizontal="center"/>
    </xf>
    <xf numFmtId="166" fontId="10" fillId="0" borderId="10" xfId="0" applyNumberFormat="1" applyFont="1" applyBorder="1" applyAlignment="1">
      <alignment horizontal="center"/>
    </xf>
    <xf numFmtId="166" fontId="10" fillId="0" borderId="11" xfId="0" applyNumberFormat="1" applyFont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3" fontId="10" fillId="0" borderId="12" xfId="0" applyNumberFormat="1" applyFont="1" applyBorder="1" applyAlignment="1">
      <alignment horizontal="center"/>
    </xf>
    <xf numFmtId="0" fontId="10" fillId="0" borderId="0" xfId="0" applyFont="1" applyBorder="1"/>
    <xf numFmtId="0" fontId="10" fillId="0" borderId="7" xfId="0" applyFont="1" applyBorder="1"/>
    <xf numFmtId="3" fontId="10" fillId="0" borderId="9" xfId="0" applyNumberFormat="1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10" fillId="0" borderId="0" xfId="0" applyFont="1" applyAlignment="1">
      <alignment horizontal="center"/>
    </xf>
    <xf numFmtId="168" fontId="11" fillId="0" borderId="0" xfId="0" applyNumberFormat="1" applyFont="1" applyBorder="1" applyAlignment="1">
      <alignment horizontal="left"/>
    </xf>
    <xf numFmtId="168" fontId="11" fillId="0" borderId="0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3" fontId="10" fillId="0" borderId="7" xfId="0" applyNumberFormat="1" applyFont="1" applyBorder="1" applyAlignment="1">
      <alignment horizontal="center"/>
    </xf>
    <xf numFmtId="0" fontId="10" fillId="0" borderId="6" xfId="0" applyFont="1" applyBorder="1" applyAlignment="1">
      <alignment horizontal="right"/>
    </xf>
    <xf numFmtId="0" fontId="10" fillId="0" borderId="13" xfId="0" applyFont="1" applyBorder="1" applyAlignment="1">
      <alignment horizontal="right"/>
    </xf>
    <xf numFmtId="168" fontId="10" fillId="0" borderId="14" xfId="0" applyNumberFormat="1" applyFont="1" applyBorder="1" applyAlignment="1">
      <alignment horizontal="center"/>
    </xf>
    <xf numFmtId="0" fontId="10" fillId="0" borderId="8" xfId="0" applyFont="1" applyBorder="1" applyAlignment="1">
      <alignment horizontal="right"/>
    </xf>
    <xf numFmtId="168" fontId="10" fillId="0" borderId="11" xfId="0" applyNumberFormat="1" applyFont="1" applyBorder="1" applyAlignment="1">
      <alignment horizontal="center"/>
    </xf>
    <xf numFmtId="168" fontId="11" fillId="0" borderId="0" xfId="0" applyNumberFormat="1" applyFont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3" fontId="10" fillId="3" borderId="15" xfId="0" applyNumberFormat="1" applyFont="1" applyFill="1" applyBorder="1" applyAlignment="1" applyProtection="1">
      <alignment horizontal="center"/>
      <protection locked="0"/>
    </xf>
    <xf numFmtId="172" fontId="10" fillId="3" borderId="16" xfId="0" applyNumberFormat="1" applyFont="1" applyFill="1" applyBorder="1" applyAlignment="1" applyProtection="1">
      <alignment horizontal="center"/>
      <protection locked="0"/>
    </xf>
    <xf numFmtId="172" fontId="10" fillId="3" borderId="15" xfId="0" applyNumberFormat="1" applyFont="1" applyFill="1" applyBorder="1" applyAlignment="1" applyProtection="1">
      <alignment horizontal="center"/>
      <protection locked="0"/>
    </xf>
    <xf numFmtId="166" fontId="10" fillId="0" borderId="16" xfId="0" applyNumberFormat="1" applyFont="1" applyBorder="1" applyAlignment="1">
      <alignment horizontal="center"/>
    </xf>
    <xf numFmtId="166" fontId="10" fillId="0" borderId="14" xfId="0" applyNumberFormat="1" applyFont="1" applyBorder="1" applyAlignment="1">
      <alignment horizontal="center"/>
    </xf>
    <xf numFmtId="3" fontId="10" fillId="3" borderId="9" xfId="0" applyNumberFormat="1" applyFont="1" applyFill="1" applyBorder="1" applyAlignment="1" applyProtection="1">
      <alignment horizontal="center"/>
      <protection locked="0"/>
    </xf>
    <xf numFmtId="172" fontId="10" fillId="3" borderId="10" xfId="0" applyNumberFormat="1" applyFont="1" applyFill="1" applyBorder="1" applyAlignment="1" applyProtection="1">
      <alignment horizontal="center"/>
      <protection locked="0"/>
    </xf>
    <xf numFmtId="172" fontId="10" fillId="3" borderId="9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Border="1" applyAlignment="1">
      <alignment horizontal="left"/>
    </xf>
    <xf numFmtId="3" fontId="10" fillId="0" borderId="3" xfId="0" applyNumberFormat="1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3" fontId="10" fillId="0" borderId="15" xfId="0" applyNumberFormat="1" applyFont="1" applyBorder="1" applyAlignment="1">
      <alignment horizontal="center"/>
    </xf>
    <xf numFmtId="172" fontId="10" fillId="0" borderId="16" xfId="0" applyNumberFormat="1" applyFont="1" applyBorder="1" applyAlignment="1">
      <alignment horizontal="center"/>
    </xf>
    <xf numFmtId="172" fontId="10" fillId="0" borderId="15" xfId="0" applyNumberFormat="1" applyFont="1" applyBorder="1" applyAlignment="1">
      <alignment horizontal="center"/>
    </xf>
    <xf numFmtId="172" fontId="10" fillId="0" borderId="14" xfId="0" applyNumberFormat="1" applyFont="1" applyBorder="1" applyAlignment="1">
      <alignment horizontal="center"/>
    </xf>
    <xf numFmtId="172" fontId="10" fillId="0" borderId="10" xfId="0" applyNumberFormat="1" applyFont="1" applyBorder="1" applyAlignment="1">
      <alignment horizontal="center"/>
    </xf>
    <xf numFmtId="172" fontId="10" fillId="0" borderId="9" xfId="0" applyNumberFormat="1" applyFont="1" applyBorder="1" applyAlignment="1">
      <alignment horizontal="center"/>
    </xf>
    <xf numFmtId="172" fontId="10" fillId="0" borderId="11" xfId="0" applyNumberFormat="1" applyFont="1" applyBorder="1" applyAlignment="1">
      <alignment horizontal="center"/>
    </xf>
    <xf numFmtId="166" fontId="10" fillId="0" borderId="10" xfId="0" applyNumberFormat="1" applyFont="1" applyBorder="1"/>
    <xf numFmtId="166" fontId="10" fillId="0" borderId="11" xfId="0" applyNumberFormat="1" applyFont="1" applyBorder="1"/>
    <xf numFmtId="167" fontId="10" fillId="0" borderId="4" xfId="0" applyNumberFormat="1" applyFont="1" applyBorder="1" applyAlignment="1">
      <alignment horizontal="center"/>
    </xf>
    <xf numFmtId="168" fontId="12" fillId="0" borderId="3" xfId="0" applyNumberFormat="1" applyFont="1" applyBorder="1" applyAlignment="1">
      <alignment horizontal="center"/>
    </xf>
    <xf numFmtId="3" fontId="10" fillId="0" borderId="0" xfId="0" applyNumberFormat="1" applyFont="1" applyBorder="1" applyAlignment="1">
      <alignment horizontal="center"/>
    </xf>
    <xf numFmtId="166" fontId="10" fillId="0" borderId="13" xfId="0" applyNumberFormat="1" applyFont="1" applyBorder="1" applyAlignment="1">
      <alignment horizontal="center"/>
    </xf>
    <xf numFmtId="166" fontId="10" fillId="0" borderId="15" xfId="0" applyNumberFormat="1" applyFont="1" applyBorder="1" applyAlignment="1">
      <alignment horizontal="center"/>
    </xf>
    <xf numFmtId="166" fontId="10" fillId="0" borderId="0" xfId="0" applyNumberFormat="1" applyFont="1" applyBorder="1"/>
    <xf numFmtId="3" fontId="11" fillId="0" borderId="0" xfId="0" applyNumberFormat="1" applyFont="1" applyBorder="1" applyAlignment="1">
      <alignment horizontal="right"/>
    </xf>
    <xf numFmtId="3" fontId="11" fillId="0" borderId="3" xfId="0" applyNumberFormat="1" applyFont="1" applyBorder="1" applyAlignment="1">
      <alignment horizontal="right"/>
    </xf>
    <xf numFmtId="166" fontId="10" fillId="0" borderId="4" xfId="0" applyNumberFormat="1" applyFont="1" applyBorder="1" applyAlignment="1">
      <alignment horizontal="center"/>
    </xf>
    <xf numFmtId="0" fontId="10" fillId="0" borderId="3" xfId="0" applyFont="1" applyBorder="1"/>
    <xf numFmtId="166" fontId="10" fillId="0" borderId="5" xfId="0" applyNumberFormat="1" applyFont="1" applyBorder="1" applyAlignment="1">
      <alignment horizontal="center"/>
    </xf>
    <xf numFmtId="166" fontId="10" fillId="0" borderId="2" xfId="0" applyNumberFormat="1" applyFont="1" applyBorder="1" applyAlignment="1">
      <alignment horizontal="center"/>
    </xf>
    <xf numFmtId="0" fontId="10" fillId="0" borderId="14" xfId="0" applyFont="1" applyBorder="1" applyAlignment="1">
      <alignment horizontal="left"/>
    </xf>
    <xf numFmtId="0" fontId="10" fillId="0" borderId="0" xfId="0" applyFont="1" applyBorder="1" applyAlignment="1">
      <alignment horizontal="right"/>
    </xf>
    <xf numFmtId="0" fontId="11" fillId="0" borderId="0" xfId="0" applyFont="1" applyBorder="1" applyAlignment="1">
      <alignment horizontal="right"/>
    </xf>
    <xf numFmtId="3" fontId="10" fillId="0" borderId="0" xfId="0" applyNumberFormat="1" applyFont="1" applyBorder="1"/>
    <xf numFmtId="168" fontId="10" fillId="0" borderId="5" xfId="0" applyNumberFormat="1" applyFont="1" applyBorder="1" applyAlignment="1">
      <alignment horizontal="center"/>
    </xf>
    <xf numFmtId="3" fontId="10" fillId="0" borderId="4" xfId="0" applyNumberFormat="1" applyFont="1" applyBorder="1" applyAlignment="1">
      <alignment horizontal="center"/>
    </xf>
    <xf numFmtId="2" fontId="10" fillId="2" borderId="17" xfId="0" applyNumberFormat="1" applyFont="1" applyFill="1" applyBorder="1" applyAlignment="1" applyProtection="1">
      <alignment horizontal="center"/>
      <protection locked="0"/>
    </xf>
    <xf numFmtId="2" fontId="10" fillId="2" borderId="18" xfId="0" applyNumberFormat="1" applyFont="1" applyFill="1" applyBorder="1" applyAlignment="1" applyProtection="1">
      <alignment horizontal="center"/>
      <protection locked="0"/>
    </xf>
    <xf numFmtId="2" fontId="10" fillId="2" borderId="19" xfId="0" applyNumberFormat="1" applyFont="1" applyFill="1" applyBorder="1" applyAlignment="1" applyProtection="1">
      <alignment horizontal="center"/>
      <protection locked="0"/>
    </xf>
    <xf numFmtId="49" fontId="10" fillId="0" borderId="3" xfId="0" applyNumberFormat="1" applyFont="1" applyBorder="1" applyAlignment="1">
      <alignment horizontal="center"/>
    </xf>
    <xf numFmtId="49" fontId="10" fillId="2" borderId="20" xfId="0" applyNumberFormat="1" applyFont="1" applyFill="1" applyBorder="1" applyAlignment="1" applyProtection="1">
      <alignment horizontal="center"/>
      <protection locked="0"/>
    </xf>
    <xf numFmtId="49" fontId="10" fillId="2" borderId="21" xfId="0" applyNumberFormat="1" applyFont="1" applyFill="1" applyBorder="1" applyAlignment="1" applyProtection="1">
      <alignment horizontal="center"/>
      <protection locked="0"/>
    </xf>
    <xf numFmtId="49" fontId="10" fillId="2" borderId="22" xfId="0" applyNumberFormat="1" applyFont="1" applyFill="1" applyBorder="1" applyAlignment="1" applyProtection="1">
      <alignment horizontal="center"/>
      <protection locked="0"/>
    </xf>
    <xf numFmtId="2" fontId="10" fillId="2" borderId="23" xfId="0" applyNumberFormat="1" applyFont="1" applyFill="1" applyBorder="1" applyAlignment="1" applyProtection="1">
      <alignment horizontal="center"/>
      <protection locked="0"/>
    </xf>
    <xf numFmtId="49" fontId="10" fillId="2" borderId="24" xfId="0" applyNumberFormat="1" applyFont="1" applyFill="1" applyBorder="1" applyAlignment="1" applyProtection="1">
      <alignment horizontal="center"/>
      <protection locked="0"/>
    </xf>
    <xf numFmtId="1" fontId="10" fillId="0" borderId="25" xfId="0" applyNumberFormat="1" applyFont="1" applyBorder="1" applyAlignment="1">
      <alignment horizontal="center"/>
    </xf>
    <xf numFmtId="1" fontId="10" fillId="0" borderId="0" xfId="0" applyNumberFormat="1" applyFont="1" applyAlignment="1">
      <alignment horizontal="center"/>
    </xf>
    <xf numFmtId="2" fontId="10" fillId="2" borderId="26" xfId="0" applyNumberFormat="1" applyFont="1" applyFill="1" applyBorder="1" applyAlignment="1" applyProtection="1">
      <alignment horizontal="center"/>
      <protection locked="0"/>
    </xf>
    <xf numFmtId="49" fontId="10" fillId="2" borderId="27" xfId="0" applyNumberFormat="1" applyFont="1" applyFill="1" applyBorder="1" applyAlignment="1" applyProtection="1">
      <alignment horizontal="center"/>
      <protection locked="0"/>
    </xf>
    <xf numFmtId="1" fontId="10" fillId="2" borderId="28" xfId="0" applyNumberFormat="1" applyFont="1" applyFill="1" applyBorder="1" applyAlignment="1" applyProtection="1">
      <alignment horizontal="center"/>
      <protection locked="0"/>
    </xf>
    <xf numFmtId="2" fontId="10" fillId="2" borderId="29" xfId="0" applyNumberFormat="1" applyFont="1" applyFill="1" applyBorder="1" applyAlignment="1" applyProtection="1">
      <alignment horizontal="center"/>
      <protection locked="0"/>
    </xf>
    <xf numFmtId="49" fontId="10" fillId="2" borderId="30" xfId="0" applyNumberFormat="1" applyFont="1" applyFill="1" applyBorder="1" applyAlignment="1" applyProtection="1">
      <alignment horizontal="center"/>
      <protection locked="0"/>
    </xf>
    <xf numFmtId="1" fontId="10" fillId="0" borderId="31" xfId="0" applyNumberFormat="1" applyFont="1" applyBorder="1" applyAlignment="1">
      <alignment horizontal="center"/>
    </xf>
    <xf numFmtId="1" fontId="10" fillId="0" borderId="32" xfId="0" applyNumberFormat="1" applyFont="1" applyBorder="1" applyAlignment="1">
      <alignment horizontal="center"/>
    </xf>
    <xf numFmtId="1" fontId="10" fillId="0" borderId="33" xfId="0" applyNumberFormat="1" applyFont="1" applyBorder="1" applyAlignment="1">
      <alignment horizontal="center"/>
    </xf>
    <xf numFmtId="1" fontId="10" fillId="0" borderId="3" xfId="0" applyNumberFormat="1" applyFont="1" applyBorder="1" applyAlignment="1">
      <alignment horizontal="center"/>
    </xf>
    <xf numFmtId="4" fontId="10" fillId="0" borderId="6" xfId="0" applyNumberFormat="1" applyFont="1" applyBorder="1" applyAlignment="1">
      <alignment horizontal="center"/>
    </xf>
    <xf numFmtId="1" fontId="10" fillId="0" borderId="0" xfId="0" applyNumberFormat="1" applyFont="1" applyBorder="1" applyAlignment="1">
      <alignment horizontal="center"/>
    </xf>
    <xf numFmtId="168" fontId="10" fillId="0" borderId="7" xfId="0" applyNumberFormat="1" applyFont="1" applyBorder="1" applyAlignment="1">
      <alignment horizontal="center"/>
    </xf>
    <xf numFmtId="2" fontId="10" fillId="0" borderId="6" xfId="0" applyNumberFormat="1" applyFont="1" applyBorder="1" applyAlignment="1">
      <alignment horizontal="center"/>
    </xf>
    <xf numFmtId="2" fontId="10" fillId="0" borderId="8" xfId="0" applyNumberFormat="1" applyFont="1" applyBorder="1" applyAlignment="1">
      <alignment horizontal="center"/>
    </xf>
    <xf numFmtId="1" fontId="10" fillId="0" borderId="10" xfId="0" applyNumberFormat="1" applyFont="1" applyBorder="1" applyAlignment="1">
      <alignment horizontal="center"/>
    </xf>
    <xf numFmtId="0" fontId="10" fillId="0" borderId="6" xfId="0" applyFont="1" applyBorder="1" applyAlignment="1"/>
    <xf numFmtId="0" fontId="10" fillId="0" borderId="0" xfId="0" applyFont="1" applyAlignment="1"/>
    <xf numFmtId="1" fontId="10" fillId="2" borderId="34" xfId="0" applyNumberFormat="1" applyFont="1" applyFill="1" applyBorder="1" applyAlignment="1" applyProtection="1">
      <alignment horizontal="center"/>
      <protection locked="0"/>
    </xf>
    <xf numFmtId="1" fontId="10" fillId="2" borderId="35" xfId="0" applyNumberFormat="1" applyFont="1" applyFill="1" applyBorder="1" applyAlignment="1" applyProtection="1">
      <alignment horizontal="center"/>
      <protection locked="0"/>
    </xf>
    <xf numFmtId="1" fontId="10" fillId="2" borderId="36" xfId="0" applyNumberFormat="1" applyFont="1" applyFill="1" applyBorder="1" applyAlignment="1" applyProtection="1">
      <alignment horizontal="center"/>
      <protection locked="0"/>
    </xf>
    <xf numFmtId="1" fontId="10" fillId="2" borderId="37" xfId="0" applyNumberFormat="1" applyFont="1" applyFill="1" applyBorder="1" applyAlignment="1" applyProtection="1">
      <alignment horizontal="center"/>
      <protection locked="0"/>
    </xf>
    <xf numFmtId="1" fontId="10" fillId="2" borderId="38" xfId="0" applyNumberFormat="1" applyFont="1" applyFill="1" applyBorder="1" applyAlignment="1" applyProtection="1">
      <alignment horizontal="center"/>
      <protection locked="0"/>
    </xf>
    <xf numFmtId="1" fontId="10" fillId="2" borderId="39" xfId="0" applyNumberFormat="1" applyFont="1" applyFill="1" applyBorder="1" applyAlignment="1" applyProtection="1">
      <alignment horizontal="center"/>
      <protection locked="0"/>
    </xf>
    <xf numFmtId="1" fontId="10" fillId="2" borderId="40" xfId="0" applyNumberFormat="1" applyFont="1" applyFill="1" applyBorder="1" applyAlignment="1" applyProtection="1">
      <alignment horizontal="center"/>
      <protection locked="0"/>
    </xf>
    <xf numFmtId="1" fontId="10" fillId="2" borderId="41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left"/>
    </xf>
    <xf numFmtId="0" fontId="10" fillId="0" borderId="3" xfId="0" applyFont="1" applyBorder="1" applyAlignment="1">
      <alignment horizontal="center" vertical="center" wrapText="1"/>
    </xf>
    <xf numFmtId="169" fontId="10" fillId="0" borderId="9" xfId="0" applyNumberFormat="1" applyFont="1" applyBorder="1" applyAlignment="1">
      <alignment horizontal="center" vertical="center"/>
    </xf>
    <xf numFmtId="169" fontId="10" fillId="0" borderId="8" xfId="0" applyNumberFormat="1" applyFont="1" applyBorder="1" applyAlignment="1">
      <alignment horizontal="center" vertical="center"/>
    </xf>
    <xf numFmtId="169" fontId="10" fillId="0" borderId="11" xfId="0" applyNumberFormat="1" applyFont="1" applyBorder="1" applyAlignment="1">
      <alignment horizontal="center" vertical="center"/>
    </xf>
    <xf numFmtId="2" fontId="10" fillId="0" borderId="0" xfId="0" applyNumberFormat="1" applyFont="1" applyAlignment="1">
      <alignment horizontal="center"/>
    </xf>
    <xf numFmtId="169" fontId="10" fillId="0" borderId="2" xfId="0" applyNumberFormat="1" applyFont="1" applyBorder="1" applyAlignment="1">
      <alignment horizontal="center" vertical="center"/>
    </xf>
    <xf numFmtId="0" fontId="10" fillId="0" borderId="14" xfId="0" applyFont="1" applyBorder="1" applyAlignment="1">
      <alignment horizontal="center"/>
    </xf>
    <xf numFmtId="0" fontId="11" fillId="0" borderId="0" xfId="0" applyFont="1" applyAlignment="1">
      <alignment horizontal="left"/>
    </xf>
    <xf numFmtId="169" fontId="10" fillId="0" borderId="5" xfId="0" applyNumberFormat="1" applyFont="1" applyBorder="1" applyAlignment="1">
      <alignment horizontal="center" vertical="center"/>
    </xf>
    <xf numFmtId="0" fontId="10" fillId="2" borderId="3" xfId="0" applyFont="1" applyFill="1" applyBorder="1" applyAlignment="1" applyProtection="1">
      <alignment horizontal="center"/>
      <protection locked="0"/>
    </xf>
    <xf numFmtId="0" fontId="10" fillId="3" borderId="0" xfId="0" applyFont="1" applyFill="1" applyAlignment="1" applyProtection="1">
      <alignment horizontal="center"/>
    </xf>
    <xf numFmtId="0" fontId="13" fillId="0" borderId="3" xfId="0" applyFont="1" applyBorder="1" applyAlignment="1">
      <alignment horizontal="center" vertical="center" wrapText="1"/>
    </xf>
    <xf numFmtId="169" fontId="13" fillId="3" borderId="9" xfId="0" applyNumberFormat="1" applyFont="1" applyFill="1" applyBorder="1" applyAlignment="1">
      <alignment horizontal="center" vertical="center"/>
    </xf>
    <xf numFmtId="165" fontId="13" fillId="0" borderId="0" xfId="0" applyNumberFormat="1" applyFont="1" applyBorder="1" applyAlignment="1">
      <alignment horizontal="center"/>
    </xf>
    <xf numFmtId="171" fontId="13" fillId="0" borderId="0" xfId="0" applyNumberFormat="1" applyFont="1" applyBorder="1" applyAlignment="1">
      <alignment horizontal="center" vertical="center"/>
    </xf>
    <xf numFmtId="0" fontId="10" fillId="0" borderId="9" xfId="0" applyFont="1" applyFill="1" applyBorder="1" applyAlignment="1">
      <alignment horizontal="center"/>
    </xf>
    <xf numFmtId="0" fontId="10" fillId="0" borderId="8" xfId="0" applyFont="1" applyFill="1" applyBorder="1" applyAlignment="1">
      <alignment horizontal="center"/>
    </xf>
    <xf numFmtId="0" fontId="10" fillId="2" borderId="34" xfId="0" applyFont="1" applyFill="1" applyBorder="1" applyAlignment="1" applyProtection="1">
      <alignment horizontal="center"/>
      <protection locked="0"/>
    </xf>
    <xf numFmtId="0" fontId="10" fillId="2" borderId="36" xfId="0" applyFont="1" applyFill="1" applyBorder="1" applyAlignment="1" applyProtection="1">
      <alignment horizontal="center"/>
      <protection locked="0"/>
    </xf>
    <xf numFmtId="2" fontId="10" fillId="0" borderId="12" xfId="0" applyNumberFormat="1" applyFont="1" applyBorder="1" applyAlignment="1">
      <alignment horizontal="center"/>
    </xf>
    <xf numFmtId="165" fontId="10" fillId="0" borderId="6" xfId="0" applyNumberFormat="1" applyFont="1" applyBorder="1" applyAlignment="1">
      <alignment horizontal="center"/>
    </xf>
    <xf numFmtId="2" fontId="10" fillId="0" borderId="7" xfId="0" applyNumberFormat="1" applyFont="1" applyBorder="1" applyAlignment="1">
      <alignment horizontal="center"/>
    </xf>
    <xf numFmtId="4" fontId="10" fillId="0" borderId="13" xfId="0" applyNumberFormat="1" applyFont="1" applyBorder="1" applyAlignment="1">
      <alignment horizontal="center"/>
    </xf>
    <xf numFmtId="4" fontId="10" fillId="0" borderId="14" xfId="0" applyNumberFormat="1" applyFont="1" applyBorder="1" applyAlignment="1">
      <alignment horizontal="center"/>
    </xf>
    <xf numFmtId="0" fontId="10" fillId="2" borderId="39" xfId="0" applyFont="1" applyFill="1" applyBorder="1" applyAlignment="1" applyProtection="1">
      <alignment horizontal="center"/>
      <protection locked="0"/>
    </xf>
    <xf numFmtId="0" fontId="10" fillId="2" borderId="41" xfId="0" applyFont="1" applyFill="1" applyBorder="1" applyAlignment="1" applyProtection="1">
      <alignment horizontal="center"/>
      <protection locked="0"/>
    </xf>
    <xf numFmtId="4" fontId="10" fillId="0" borderId="7" xfId="0" applyNumberFormat="1" applyFont="1" applyBorder="1" applyAlignment="1">
      <alignment horizontal="center"/>
    </xf>
    <xf numFmtId="2" fontId="10" fillId="0" borderId="3" xfId="0" applyNumberFormat="1" applyFont="1" applyBorder="1" applyAlignment="1">
      <alignment horizontal="center"/>
    </xf>
    <xf numFmtId="165" fontId="10" fillId="0" borderId="2" xfId="0" applyNumberFormat="1" applyFont="1" applyBorder="1" applyAlignment="1">
      <alignment horizontal="center"/>
    </xf>
    <xf numFmtId="2" fontId="10" fillId="0" borderId="2" xfId="0" applyNumberFormat="1" applyFont="1" applyBorder="1" applyAlignment="1">
      <alignment horizontal="center"/>
    </xf>
    <xf numFmtId="2" fontId="10" fillId="0" borderId="5" xfId="0" applyNumberFormat="1" applyFont="1" applyBorder="1" applyAlignment="1">
      <alignment horizontal="center"/>
    </xf>
    <xf numFmtId="4" fontId="10" fillId="0" borderId="2" xfId="0" applyNumberFormat="1" applyFont="1" applyBorder="1" applyAlignment="1">
      <alignment horizontal="center"/>
    </xf>
    <xf numFmtId="4" fontId="10" fillId="0" borderId="5" xfId="0" applyNumberFormat="1" applyFont="1" applyBorder="1" applyAlignment="1">
      <alignment horizontal="center"/>
    </xf>
    <xf numFmtId="0" fontId="10" fillId="2" borderId="9" xfId="0" applyFont="1" applyFill="1" applyBorder="1" applyAlignment="1" applyProtection="1">
      <alignment horizontal="center"/>
      <protection locked="0"/>
    </xf>
    <xf numFmtId="0" fontId="10" fillId="0" borderId="0" xfId="0" applyFont="1" applyFill="1" applyBorder="1"/>
    <xf numFmtId="0" fontId="10" fillId="0" borderId="3" xfId="0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2" fontId="10" fillId="0" borderId="9" xfId="0" applyNumberFormat="1" applyFont="1" applyBorder="1" applyAlignment="1">
      <alignment horizontal="center"/>
    </xf>
    <xf numFmtId="2" fontId="10" fillId="0" borderId="10" xfId="0" applyNumberFormat="1" applyFont="1" applyBorder="1" applyAlignment="1">
      <alignment horizontal="center"/>
    </xf>
    <xf numFmtId="2" fontId="10" fillId="0" borderId="11" xfId="0" applyNumberFormat="1" applyFont="1" applyBorder="1" applyAlignment="1">
      <alignment horizontal="center"/>
    </xf>
    <xf numFmtId="165" fontId="10" fillId="0" borderId="0" xfId="0" applyNumberFormat="1" applyFont="1"/>
    <xf numFmtId="165" fontId="13" fillId="0" borderId="0" xfId="0" applyNumberFormat="1" applyFont="1" applyAlignment="1">
      <alignment horizontal="center"/>
    </xf>
    <xf numFmtId="166" fontId="10" fillId="0" borderId="0" xfId="0" applyNumberFormat="1" applyFont="1"/>
    <xf numFmtId="2" fontId="10" fillId="0" borderId="0" xfId="0" applyNumberFormat="1" applyFont="1" applyBorder="1" applyAlignment="1">
      <alignment horizontal="center"/>
    </xf>
    <xf numFmtId="168" fontId="10" fillId="0" borderId="0" xfId="0" applyNumberFormat="1" applyFont="1" applyAlignment="1">
      <alignment horizontal="left"/>
    </xf>
    <xf numFmtId="165" fontId="10" fillId="0" borderId="0" xfId="0" applyNumberFormat="1" applyFont="1" applyAlignment="1">
      <alignment horizontal="left"/>
    </xf>
    <xf numFmtId="2" fontId="10" fillId="0" borderId="34" xfId="0" applyNumberFormat="1" applyFont="1" applyBorder="1" applyAlignment="1">
      <alignment horizontal="center"/>
    </xf>
    <xf numFmtId="2" fontId="10" fillId="0" borderId="36" xfId="0" applyNumberFormat="1" applyFont="1" applyBorder="1" applyAlignment="1">
      <alignment horizontal="center"/>
    </xf>
    <xf numFmtId="2" fontId="10" fillId="0" borderId="39" xfId="0" applyNumberFormat="1" applyFont="1" applyBorder="1" applyAlignment="1">
      <alignment horizontal="center"/>
    </xf>
    <xf numFmtId="2" fontId="10" fillId="0" borderId="41" xfId="0" applyNumberFormat="1" applyFont="1" applyBorder="1" applyAlignment="1">
      <alignment horizontal="center"/>
    </xf>
    <xf numFmtId="2" fontId="10" fillId="0" borderId="0" xfId="0" applyNumberFormat="1" applyFont="1" applyAlignment="1">
      <alignment horizontal="left"/>
    </xf>
    <xf numFmtId="4" fontId="10" fillId="0" borderId="12" xfId="0" applyNumberFormat="1" applyFont="1" applyBorder="1" applyAlignment="1">
      <alignment horizontal="center"/>
    </xf>
    <xf numFmtId="165" fontId="10" fillId="0" borderId="0" xfId="0" applyNumberFormat="1" applyFont="1" applyBorder="1" applyAlignment="1">
      <alignment horizontal="center"/>
    </xf>
    <xf numFmtId="4" fontId="10" fillId="0" borderId="8" xfId="0" applyNumberFormat="1" applyFont="1" applyBorder="1" applyAlignment="1">
      <alignment horizontal="center"/>
    </xf>
    <xf numFmtId="4" fontId="10" fillId="0" borderId="11" xfId="0" applyNumberFormat="1" applyFont="1" applyBorder="1" applyAlignment="1">
      <alignment horizontal="center"/>
    </xf>
    <xf numFmtId="4" fontId="10" fillId="0" borderId="4" xfId="0" applyNumberFormat="1" applyFont="1" applyBorder="1" applyAlignment="1">
      <alignment horizontal="right"/>
    </xf>
    <xf numFmtId="4" fontId="10" fillId="0" borderId="3" xfId="0" applyNumberFormat="1" applyFont="1" applyBorder="1" applyAlignment="1">
      <alignment horizontal="center"/>
    </xf>
    <xf numFmtId="3" fontId="10" fillId="2" borderId="9" xfId="0" applyNumberFormat="1" applyFont="1" applyFill="1" applyBorder="1" applyAlignment="1" applyProtection="1">
      <alignment horizontal="center"/>
      <protection locked="0"/>
    </xf>
    <xf numFmtId="166" fontId="10" fillId="0" borderId="0" xfId="0" applyNumberFormat="1" applyFont="1" applyAlignment="1">
      <alignment horizontal="center"/>
    </xf>
    <xf numFmtId="165" fontId="10" fillId="0" borderId="0" xfId="0" applyNumberFormat="1" applyFont="1" applyAlignment="1">
      <alignment horizontal="center"/>
    </xf>
    <xf numFmtId="168" fontId="11" fillId="0" borderId="0" xfId="0" applyNumberFormat="1" applyFont="1" applyAlignment="1">
      <alignment horizontal="left"/>
    </xf>
    <xf numFmtId="0" fontId="10" fillId="2" borderId="8" xfId="0" applyFont="1" applyFill="1" applyBorder="1" applyAlignment="1" applyProtection="1">
      <alignment horizontal="left"/>
      <protection locked="0"/>
    </xf>
    <xf numFmtId="0" fontId="10" fillId="2" borderId="10" xfId="0" applyFont="1" applyFill="1" applyBorder="1" applyAlignment="1" applyProtection="1">
      <alignment horizontal="left"/>
      <protection locked="0"/>
    </xf>
    <xf numFmtId="0" fontId="10" fillId="2" borderId="11" xfId="0" applyFont="1" applyFill="1" applyBorder="1" applyAlignment="1" applyProtection="1">
      <alignment horizontal="left"/>
      <protection locked="0"/>
    </xf>
    <xf numFmtId="0" fontId="10" fillId="0" borderId="0" xfId="0" applyFont="1" applyFill="1" applyBorder="1" applyAlignment="1">
      <alignment horizontal="left"/>
    </xf>
    <xf numFmtId="167" fontId="10" fillId="0" borderId="0" xfId="0" applyNumberFormat="1" applyFont="1" applyAlignment="1">
      <alignment horizontal="center"/>
    </xf>
    <xf numFmtId="0" fontId="11" fillId="0" borderId="0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center"/>
    </xf>
    <xf numFmtId="167" fontId="10" fillId="0" borderId="3" xfId="0" applyNumberFormat="1" applyFont="1" applyBorder="1" applyAlignment="1">
      <alignment horizontal="center"/>
    </xf>
    <xf numFmtId="167" fontId="10" fillId="0" borderId="0" xfId="0" applyNumberFormat="1" applyFont="1" applyBorder="1" applyAlignment="1">
      <alignment horizontal="center"/>
    </xf>
    <xf numFmtId="2" fontId="11" fillId="0" borderId="12" xfId="0" applyNumberFormat="1" applyFont="1" applyBorder="1" applyAlignment="1">
      <alignment horizontal="center"/>
    </xf>
    <xf numFmtId="2" fontId="11" fillId="0" borderId="7" xfId="0" applyNumberFormat="1" applyFont="1" applyBorder="1" applyAlignment="1">
      <alignment horizontal="center"/>
    </xf>
    <xf numFmtId="165" fontId="10" fillId="0" borderId="0" xfId="0" applyNumberFormat="1" applyFont="1" applyBorder="1" applyAlignment="1">
      <alignment horizontal="left"/>
    </xf>
    <xf numFmtId="2" fontId="11" fillId="0" borderId="11" xfId="0" applyNumberFormat="1" applyFont="1" applyBorder="1" applyAlignment="1">
      <alignment horizontal="center"/>
    </xf>
    <xf numFmtId="165" fontId="10" fillId="0" borderId="3" xfId="0" applyNumberFormat="1" applyFont="1" applyBorder="1" applyAlignment="1">
      <alignment horizontal="center"/>
    </xf>
    <xf numFmtId="0" fontId="10" fillId="0" borderId="34" xfId="0" applyFont="1" applyFill="1" applyBorder="1" applyAlignment="1" applyProtection="1">
      <alignment horizontal="center"/>
    </xf>
    <xf numFmtId="0" fontId="10" fillId="0" borderId="36" xfId="0" applyFont="1" applyFill="1" applyBorder="1" applyAlignment="1" applyProtection="1">
      <alignment horizontal="center"/>
    </xf>
    <xf numFmtId="2" fontId="11" fillId="0" borderId="6" xfId="0" applyNumberFormat="1" applyFont="1" applyBorder="1" applyAlignment="1">
      <alignment horizontal="center"/>
    </xf>
    <xf numFmtId="0" fontId="10" fillId="0" borderId="39" xfId="0" applyFont="1" applyFill="1" applyBorder="1" applyAlignment="1" applyProtection="1">
      <alignment horizontal="center"/>
    </xf>
    <xf numFmtId="0" fontId="10" fillId="0" borderId="41" xfId="0" applyFont="1" applyFill="1" applyBorder="1" applyAlignment="1" applyProtection="1">
      <alignment horizontal="center"/>
    </xf>
    <xf numFmtId="0" fontId="14" fillId="0" borderId="0" xfId="0" applyFont="1"/>
    <xf numFmtId="169" fontId="10" fillId="0" borderId="0" xfId="0" applyNumberFormat="1" applyFont="1" applyBorder="1" applyAlignment="1">
      <alignment horizontal="center"/>
    </xf>
    <xf numFmtId="169" fontId="10" fillId="0" borderId="0" xfId="0" applyNumberFormat="1" applyFont="1" applyAlignment="1">
      <alignment horizontal="center"/>
    </xf>
    <xf numFmtId="1" fontId="10" fillId="0" borderId="0" xfId="0" applyNumberFormat="1" applyFont="1" applyAlignment="1">
      <alignment horizontal="left"/>
    </xf>
    <xf numFmtId="0" fontId="12" fillId="0" borderId="2" xfId="0" applyFont="1" applyFill="1" applyBorder="1" applyAlignment="1">
      <alignment horizontal="center"/>
    </xf>
    <xf numFmtId="0" fontId="12" fillId="0" borderId="3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2" fontId="12" fillId="0" borderId="6" xfId="0" applyNumberFormat="1" applyFont="1" applyBorder="1" applyAlignment="1">
      <alignment horizontal="center"/>
    </xf>
    <xf numFmtId="2" fontId="12" fillId="0" borderId="12" xfId="0" applyNumberFormat="1" applyFont="1" applyBorder="1" applyAlignment="1">
      <alignment horizontal="center"/>
    </xf>
    <xf numFmtId="2" fontId="12" fillId="0" borderId="7" xfId="0" applyNumberFormat="1" applyFont="1" applyBorder="1" applyAlignment="1">
      <alignment horizontal="center"/>
    </xf>
    <xf numFmtId="2" fontId="12" fillId="0" borderId="8" xfId="0" applyNumberFormat="1" applyFont="1" applyBorder="1" applyAlignment="1">
      <alignment horizontal="center"/>
    </xf>
    <xf numFmtId="2" fontId="12" fillId="0" borderId="9" xfId="0" applyNumberFormat="1" applyFont="1" applyBorder="1" applyAlignment="1">
      <alignment horizontal="center"/>
    </xf>
    <xf numFmtId="2" fontId="12" fillId="0" borderId="11" xfId="0" applyNumberFormat="1" applyFont="1" applyBorder="1" applyAlignment="1">
      <alignment horizontal="center"/>
    </xf>
    <xf numFmtId="165" fontId="15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165" fontId="13" fillId="0" borderId="0" xfId="0" applyNumberFormat="1" applyFont="1" applyAlignment="1"/>
    <xf numFmtId="0" fontId="11" fillId="0" borderId="0" xfId="0" applyFont="1" applyFill="1" applyBorder="1" applyAlignment="1">
      <alignment horizontal="right"/>
    </xf>
    <xf numFmtId="0" fontId="10" fillId="0" borderId="13" xfId="0" applyFont="1" applyFill="1" applyBorder="1" applyAlignment="1">
      <alignment horizontal="center"/>
    </xf>
    <xf numFmtId="0" fontId="10" fillId="0" borderId="15" xfId="0" applyFont="1" applyFill="1" applyBorder="1" applyAlignment="1">
      <alignment horizontal="center"/>
    </xf>
    <xf numFmtId="0" fontId="10" fillId="0" borderId="14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right"/>
    </xf>
    <xf numFmtId="2" fontId="11" fillId="0" borderId="13" xfId="0" applyNumberFormat="1" applyFont="1" applyBorder="1" applyAlignment="1">
      <alignment horizontal="center"/>
    </xf>
    <xf numFmtId="2" fontId="10" fillId="0" borderId="15" xfId="0" applyNumberFormat="1" applyFont="1" applyBorder="1" applyAlignment="1">
      <alignment horizontal="center"/>
    </xf>
    <xf numFmtId="2" fontId="11" fillId="0" borderId="14" xfId="0" applyNumberFormat="1" applyFont="1" applyBorder="1" applyAlignment="1">
      <alignment horizontal="center"/>
    </xf>
    <xf numFmtId="4" fontId="10" fillId="0" borderId="15" xfId="0" applyNumberFormat="1" applyFont="1" applyBorder="1" applyAlignment="1">
      <alignment horizontal="center"/>
    </xf>
    <xf numFmtId="4" fontId="10" fillId="0" borderId="9" xfId="0" applyNumberFormat="1" applyFont="1" applyBorder="1" applyAlignment="1">
      <alignment horizontal="center"/>
    </xf>
    <xf numFmtId="4" fontId="10" fillId="0" borderId="4" xfId="1" applyNumberFormat="1" applyFont="1" applyBorder="1" applyAlignment="1">
      <alignment horizontal="right"/>
    </xf>
    <xf numFmtId="164" fontId="10" fillId="0" borderId="0" xfId="1" applyFont="1" applyAlignment="1">
      <alignment horizontal="right"/>
    </xf>
    <xf numFmtId="164" fontId="10" fillId="0" borderId="0" xfId="1" applyFont="1" applyAlignment="1">
      <alignment horizontal="center"/>
    </xf>
    <xf numFmtId="164" fontId="10" fillId="0" borderId="4" xfId="1" applyFont="1" applyBorder="1" applyAlignment="1">
      <alignment horizontal="center"/>
    </xf>
    <xf numFmtId="3" fontId="10" fillId="0" borderId="0" xfId="0" applyNumberFormat="1" applyFont="1" applyFill="1" applyBorder="1" applyAlignment="1" applyProtection="1">
      <alignment horizontal="center"/>
    </xf>
    <xf numFmtId="39" fontId="10" fillId="0" borderId="0" xfId="1" applyNumberFormat="1" applyFont="1" applyAlignment="1">
      <alignment horizontal="center"/>
    </xf>
    <xf numFmtId="168" fontId="10" fillId="0" borderId="0" xfId="0" applyNumberFormat="1" applyFont="1" applyBorder="1" applyAlignment="1">
      <alignment horizontal="left"/>
    </xf>
    <xf numFmtId="164" fontId="10" fillId="0" borderId="0" xfId="1" applyFont="1"/>
    <xf numFmtId="167" fontId="10" fillId="0" borderId="0" xfId="0" applyNumberFormat="1" applyFont="1" applyAlignment="1">
      <alignment horizontal="right"/>
    </xf>
    <xf numFmtId="3" fontId="10" fillId="0" borderId="0" xfId="0" applyNumberFormat="1" applyFont="1" applyFill="1" applyBorder="1" applyAlignment="1" applyProtection="1">
      <alignment horizontal="left"/>
    </xf>
    <xf numFmtId="0" fontId="16" fillId="0" borderId="0" xfId="0" applyFont="1"/>
    <xf numFmtId="0" fontId="10" fillId="3" borderId="3" xfId="0" applyFont="1" applyFill="1" applyBorder="1" applyAlignment="1" applyProtection="1">
      <alignment horizontal="center"/>
    </xf>
    <xf numFmtId="0" fontId="10" fillId="2" borderId="42" xfId="0" applyFont="1" applyFill="1" applyBorder="1" applyAlignment="1" applyProtection="1">
      <alignment horizontal="center"/>
      <protection locked="0"/>
    </xf>
    <xf numFmtId="168" fontId="12" fillId="3" borderId="42" xfId="0" applyNumberFormat="1" applyFont="1" applyFill="1" applyBorder="1" applyAlignment="1" applyProtection="1">
      <alignment horizontal="center"/>
    </xf>
    <xf numFmtId="9" fontId="10" fillId="2" borderId="43" xfId="0" applyNumberFormat="1" applyFont="1" applyFill="1" applyBorder="1" applyAlignment="1" applyProtection="1">
      <alignment horizontal="center"/>
      <protection locked="0"/>
    </xf>
    <xf numFmtId="0" fontId="10" fillId="0" borderId="42" xfId="0" applyFont="1" applyBorder="1" applyAlignment="1">
      <alignment horizontal="center"/>
    </xf>
    <xf numFmtId="0" fontId="10" fillId="2" borderId="26" xfId="0" applyFont="1" applyFill="1" applyBorder="1" applyAlignment="1" applyProtection="1">
      <alignment horizontal="center"/>
      <protection locked="0"/>
    </xf>
    <xf numFmtId="9" fontId="10" fillId="2" borderId="44" xfId="0" applyNumberFormat="1" applyFont="1" applyFill="1" applyBorder="1" applyAlignment="1" applyProtection="1">
      <alignment horizontal="center"/>
      <protection locked="0"/>
    </xf>
    <xf numFmtId="0" fontId="10" fillId="0" borderId="26" xfId="0" applyFont="1" applyBorder="1" applyAlignment="1">
      <alignment horizontal="center"/>
    </xf>
    <xf numFmtId="0" fontId="10" fillId="2" borderId="44" xfId="0" applyFont="1" applyFill="1" applyBorder="1" applyAlignment="1" applyProtection="1">
      <alignment horizontal="center"/>
      <protection locked="0"/>
    </xf>
    <xf numFmtId="0" fontId="10" fillId="2" borderId="29" xfId="0" applyFont="1" applyFill="1" applyBorder="1" applyAlignment="1" applyProtection="1">
      <alignment horizontal="center"/>
      <protection locked="0"/>
    </xf>
    <xf numFmtId="168" fontId="12" fillId="3" borderId="9" xfId="0" applyNumberFormat="1" applyFont="1" applyFill="1" applyBorder="1" applyAlignment="1" applyProtection="1">
      <alignment horizontal="center"/>
    </xf>
    <xf numFmtId="0" fontId="10" fillId="2" borderId="45" xfId="0" applyFont="1" applyFill="1" applyBorder="1" applyAlignment="1" applyProtection="1">
      <alignment horizontal="center"/>
      <protection locked="0"/>
    </xf>
    <xf numFmtId="0" fontId="10" fillId="0" borderId="29" xfId="0" applyFont="1" applyBorder="1" applyAlignment="1">
      <alignment horizontal="center"/>
    </xf>
    <xf numFmtId="0" fontId="10" fillId="0" borderId="25" xfId="0" applyFont="1" applyBorder="1" applyAlignment="1">
      <alignment horizontal="center"/>
    </xf>
    <xf numFmtId="0" fontId="10" fillId="0" borderId="46" xfId="0" applyFont="1" applyBorder="1" applyAlignment="1">
      <alignment horizontal="center"/>
    </xf>
    <xf numFmtId="0" fontId="10" fillId="0" borderId="47" xfId="0" applyFont="1" applyBorder="1" applyAlignment="1">
      <alignment horizontal="center"/>
    </xf>
    <xf numFmtId="0" fontId="17" fillId="0" borderId="0" xfId="0" applyFont="1"/>
    <xf numFmtId="0" fontId="18" fillId="0" borderId="2" xfId="0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10" fillId="2" borderId="48" xfId="0" applyFont="1" applyFill="1" applyBorder="1" applyAlignment="1" applyProtection="1">
      <alignment horizontal="center"/>
      <protection locked="0"/>
    </xf>
    <xf numFmtId="0" fontId="10" fillId="2" borderId="23" xfId="0" applyFont="1" applyFill="1" applyBorder="1" applyAlignment="1" applyProtection="1">
      <alignment horizontal="center"/>
      <protection locked="0"/>
    </xf>
    <xf numFmtId="0" fontId="10" fillId="0" borderId="23" xfId="0" applyFont="1" applyBorder="1" applyAlignment="1">
      <alignment horizontal="center"/>
    </xf>
    <xf numFmtId="9" fontId="10" fillId="2" borderId="48" xfId="0" applyNumberFormat="1" applyFont="1" applyFill="1" applyBorder="1" applyAlignment="1" applyProtection="1">
      <alignment horizontal="center"/>
      <protection locked="0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10" fillId="0" borderId="2" xfId="0" applyFont="1" applyBorder="1" applyAlignment="1">
      <alignment horizontal="center" vertical="center" wrapText="1"/>
    </xf>
    <xf numFmtId="0" fontId="0" fillId="0" borderId="1" xfId="0" applyBorder="1"/>
    <xf numFmtId="0" fontId="10" fillId="0" borderId="1" xfId="0" applyFont="1" applyBorder="1"/>
    <xf numFmtId="0" fontId="10" fillId="0" borderId="1" xfId="0" applyFont="1" applyBorder="1" applyAlignment="1">
      <alignment horizontal="center"/>
    </xf>
    <xf numFmtId="3" fontId="10" fillId="0" borderId="1" xfId="0" applyNumberFormat="1" applyFont="1" applyBorder="1" applyAlignment="1">
      <alignment horizontal="center"/>
    </xf>
    <xf numFmtId="2" fontId="10" fillId="0" borderId="1" xfId="0" applyNumberFormat="1" applyFont="1" applyBorder="1" applyAlignment="1">
      <alignment horizontal="center"/>
    </xf>
    <xf numFmtId="3" fontId="10" fillId="0" borderId="1" xfId="0" applyNumberFormat="1" applyFont="1" applyBorder="1"/>
    <xf numFmtId="0" fontId="10" fillId="0" borderId="49" xfId="0" applyFont="1" applyBorder="1" applyAlignment="1">
      <alignment horizontal="center"/>
    </xf>
    <xf numFmtId="0" fontId="10" fillId="0" borderId="49" xfId="0" applyFont="1" applyBorder="1"/>
    <xf numFmtId="0" fontId="0" fillId="0" borderId="50" xfId="0" applyBorder="1"/>
    <xf numFmtId="0" fontId="10" fillId="0" borderId="50" xfId="0" applyFont="1" applyBorder="1"/>
    <xf numFmtId="0" fontId="0" fillId="0" borderId="0" xfId="0" applyBorder="1"/>
    <xf numFmtId="0" fontId="2" fillId="0" borderId="0" xfId="0" applyFont="1" applyAlignment="1">
      <alignment horizontal="center" vertical="center" wrapText="1"/>
    </xf>
    <xf numFmtId="169" fontId="10" fillId="0" borderId="10" xfId="0" applyNumberFormat="1" applyFont="1" applyBorder="1" applyAlignment="1">
      <alignment horizontal="center"/>
    </xf>
    <xf numFmtId="4" fontId="10" fillId="2" borderId="36" xfId="1" applyNumberFormat="1" applyFont="1" applyFill="1" applyBorder="1" applyAlignment="1" applyProtection="1">
      <alignment horizontal="center"/>
      <protection locked="0"/>
    </xf>
    <xf numFmtId="4" fontId="10" fillId="2" borderId="41" xfId="1" applyNumberFormat="1" applyFont="1" applyFill="1" applyBorder="1" applyAlignment="1" applyProtection="1">
      <alignment horizontal="center"/>
      <protection locked="0"/>
    </xf>
    <xf numFmtId="4" fontId="10" fillId="0" borderId="4" xfId="1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10" fillId="0" borderId="11" xfId="0" applyFont="1" applyBorder="1" applyAlignment="1">
      <alignment horizontal="center"/>
    </xf>
    <xf numFmtId="1" fontId="10" fillId="0" borderId="6" xfId="0" applyNumberFormat="1" applyFont="1" applyBorder="1" applyAlignment="1">
      <alignment horizontal="center"/>
    </xf>
    <xf numFmtId="1" fontId="10" fillId="0" borderId="4" xfId="0" applyNumberFormat="1" applyFont="1" applyBorder="1" applyAlignment="1">
      <alignment horizontal="center"/>
    </xf>
    <xf numFmtId="1" fontId="10" fillId="0" borderId="2" xfId="0" applyNumberFormat="1" applyFont="1" applyBorder="1" applyAlignment="1">
      <alignment horizontal="center"/>
    </xf>
    <xf numFmtId="0" fontId="10" fillId="2" borderId="42" xfId="0" applyNumberFormat="1" applyFont="1" applyFill="1" applyBorder="1" applyAlignment="1" applyProtection="1">
      <alignment horizontal="center"/>
      <protection locked="0"/>
    </xf>
    <xf numFmtId="0" fontId="10" fillId="2" borderId="26" xfId="0" applyNumberFormat="1" applyFont="1" applyFill="1" applyBorder="1" applyAlignment="1" applyProtection="1">
      <alignment horizontal="center"/>
      <protection locked="0"/>
    </xf>
    <xf numFmtId="0" fontId="10" fillId="2" borderId="29" xfId="0" applyNumberFormat="1" applyFont="1" applyFill="1" applyBorder="1" applyAlignment="1" applyProtection="1">
      <alignment horizontal="center"/>
      <protection locked="0"/>
    </xf>
    <xf numFmtId="0" fontId="10" fillId="0" borderId="10" xfId="0" applyFont="1" applyBorder="1"/>
    <xf numFmtId="0" fontId="19" fillId="0" borderId="0" xfId="0" applyFont="1" applyAlignment="1">
      <alignment horizontal="center"/>
    </xf>
    <xf numFmtId="0" fontId="19" fillId="0" borderId="0" xfId="0" applyFont="1"/>
    <xf numFmtId="0" fontId="0" fillId="3" borderId="3" xfId="0" applyFill="1" applyBorder="1" applyAlignment="1">
      <alignment horizontal="center" wrapText="1"/>
    </xf>
    <xf numFmtId="0" fontId="0" fillId="3" borderId="3" xfId="0" applyFill="1" applyBorder="1" applyAlignment="1">
      <alignment horizontal="center" vertical="center" wrapText="1"/>
    </xf>
    <xf numFmtId="165" fontId="10" fillId="0" borderId="7" xfId="0" applyNumberFormat="1" applyFont="1" applyBorder="1" applyAlignment="1">
      <alignment horizontal="center"/>
    </xf>
    <xf numFmtId="165" fontId="10" fillId="0" borderId="11" xfId="0" applyNumberFormat="1" applyFont="1" applyBorder="1" applyAlignment="1">
      <alignment horizontal="center"/>
    </xf>
    <xf numFmtId="165" fontId="10" fillId="0" borderId="12" xfId="0" applyNumberFormat="1" applyFont="1" applyBorder="1" applyAlignment="1">
      <alignment horizontal="center"/>
    </xf>
    <xf numFmtId="165" fontId="10" fillId="0" borderId="9" xfId="0" applyNumberFormat="1" applyFont="1" applyBorder="1" applyAlignment="1">
      <alignment horizontal="center"/>
    </xf>
    <xf numFmtId="0" fontId="8" fillId="2" borderId="3" xfId="2" applyFill="1" applyBorder="1" applyAlignment="1" applyProtection="1">
      <alignment horizontal="center" vertical="center" wrapText="1"/>
    </xf>
    <xf numFmtId="0" fontId="2" fillId="0" borderId="0" xfId="0" applyFont="1" applyAlignment="1">
      <alignment horizontal="center"/>
    </xf>
    <xf numFmtId="0" fontId="0" fillId="0" borderId="49" xfId="0" applyBorder="1"/>
    <xf numFmtId="0" fontId="0" fillId="2" borderId="3" xfId="0" applyFill="1" applyBorder="1" applyAlignment="1" applyProtection="1">
      <alignment horizontal="center"/>
    </xf>
    <xf numFmtId="0" fontId="0" fillId="0" borderId="0" xfId="0" applyAlignment="1">
      <alignment vertical="center" wrapText="1"/>
    </xf>
    <xf numFmtId="0" fontId="10" fillId="0" borderId="15" xfId="0" applyFont="1" applyBorder="1"/>
    <xf numFmtId="10" fontId="10" fillId="0" borderId="3" xfId="0" applyNumberFormat="1" applyFont="1" applyBorder="1" applyAlignment="1">
      <alignment horizontal="center"/>
    </xf>
    <xf numFmtId="165" fontId="10" fillId="0" borderId="3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165" fontId="10" fillId="0" borderId="5" xfId="0" applyNumberFormat="1" applyFont="1" applyBorder="1" applyAlignment="1">
      <alignment horizontal="center"/>
    </xf>
    <xf numFmtId="10" fontId="10" fillId="0" borderId="51" xfId="0" applyNumberFormat="1" applyFont="1" applyBorder="1" applyAlignment="1">
      <alignment horizontal="center"/>
    </xf>
    <xf numFmtId="10" fontId="10" fillId="0" borderId="46" xfId="0" applyNumberFormat="1" applyFont="1" applyBorder="1" applyAlignment="1">
      <alignment horizontal="center"/>
    </xf>
    <xf numFmtId="10" fontId="10" fillId="0" borderId="47" xfId="0" applyNumberFormat="1" applyFont="1" applyBorder="1" applyAlignment="1">
      <alignment horizontal="center"/>
    </xf>
    <xf numFmtId="0" fontId="10" fillId="0" borderId="13" xfId="0" applyFont="1" applyBorder="1"/>
    <xf numFmtId="0" fontId="10" fillId="2" borderId="44" xfId="0" applyFont="1" applyFill="1" applyBorder="1" applyProtection="1">
      <protection locked="0"/>
    </xf>
    <xf numFmtId="0" fontId="10" fillId="2" borderId="45" xfId="0" applyFont="1" applyFill="1" applyBorder="1" applyProtection="1">
      <protection locked="0"/>
    </xf>
    <xf numFmtId="0" fontId="10" fillId="0" borderId="2" xfId="0" applyFont="1" applyBorder="1"/>
    <xf numFmtId="0" fontId="10" fillId="0" borderId="14" xfId="0" applyFont="1" applyBorder="1"/>
    <xf numFmtId="165" fontId="10" fillId="2" borderId="46" xfId="0" applyNumberFormat="1" applyFont="1" applyFill="1" applyBorder="1" applyAlignment="1" applyProtection="1">
      <alignment horizontal="center"/>
      <protection locked="0"/>
    </xf>
    <xf numFmtId="165" fontId="10" fillId="2" borderId="47" xfId="0" applyNumberFormat="1" applyFont="1" applyFill="1" applyBorder="1" applyAlignment="1" applyProtection="1">
      <alignment horizontal="center"/>
      <protection locked="0"/>
    </xf>
    <xf numFmtId="165" fontId="10" fillId="2" borderId="26" xfId="0" applyNumberFormat="1" applyFont="1" applyFill="1" applyBorder="1" applyAlignment="1" applyProtection="1">
      <alignment horizontal="center"/>
      <protection locked="0"/>
    </xf>
    <xf numFmtId="165" fontId="10" fillId="2" borderId="29" xfId="0" applyNumberFormat="1" applyFont="1" applyFill="1" applyBorder="1" applyAlignment="1" applyProtection="1">
      <alignment horizontal="center"/>
      <protection locked="0"/>
    </xf>
    <xf numFmtId="0" fontId="10" fillId="0" borderId="8" xfId="0" applyFont="1" applyBorder="1"/>
    <xf numFmtId="165" fontId="10" fillId="0" borderId="15" xfId="0" applyNumberFormat="1" applyFont="1" applyBorder="1" applyAlignment="1">
      <alignment horizontal="center"/>
    </xf>
    <xf numFmtId="165" fontId="10" fillId="0" borderId="14" xfId="0" applyNumberFormat="1" applyFont="1" applyBorder="1" applyAlignment="1">
      <alignment horizontal="center"/>
    </xf>
    <xf numFmtId="165" fontId="10" fillId="0" borderId="8" xfId="0" applyNumberFormat="1" applyFont="1" applyBorder="1" applyAlignment="1">
      <alignment horizontal="center"/>
    </xf>
    <xf numFmtId="49" fontId="10" fillId="0" borderId="14" xfId="0" applyNumberFormat="1" applyFont="1" applyBorder="1" applyAlignment="1">
      <alignment horizontal="right"/>
    </xf>
    <xf numFmtId="49" fontId="10" fillId="0" borderId="5" xfId="0" applyNumberFormat="1" applyFont="1" applyBorder="1" applyAlignment="1">
      <alignment horizontal="center"/>
    </xf>
    <xf numFmtId="0" fontId="10" fillId="0" borderId="48" xfId="0" applyFont="1" applyBorder="1" applyAlignment="1">
      <alignment horizontal="center"/>
    </xf>
    <xf numFmtId="0" fontId="10" fillId="0" borderId="45" xfId="0" applyFont="1" applyBorder="1" applyAlignment="1">
      <alignment horizontal="center"/>
    </xf>
    <xf numFmtId="0" fontId="10" fillId="0" borderId="51" xfId="0" applyFont="1" applyBorder="1" applyAlignment="1">
      <alignment horizontal="center"/>
    </xf>
    <xf numFmtId="0" fontId="10" fillId="0" borderId="52" xfId="0" applyFont="1" applyBorder="1" applyAlignment="1">
      <alignment horizontal="center"/>
    </xf>
    <xf numFmtId="0" fontId="10" fillId="0" borderId="53" xfId="0" applyFont="1" applyBorder="1" applyAlignment="1">
      <alignment horizontal="center"/>
    </xf>
    <xf numFmtId="0" fontId="10" fillId="0" borderId="31" xfId="0" applyFont="1" applyBorder="1" applyAlignment="1">
      <alignment horizontal="center"/>
    </xf>
    <xf numFmtId="0" fontId="10" fillId="0" borderId="54" xfId="0" applyFont="1" applyBorder="1" applyAlignment="1">
      <alignment horizontal="center"/>
    </xf>
    <xf numFmtId="167" fontId="10" fillId="2" borderId="3" xfId="0" applyNumberFormat="1" applyFont="1" applyFill="1" applyBorder="1" applyAlignment="1" applyProtection="1">
      <alignment horizontal="center"/>
      <protection locked="0"/>
    </xf>
    <xf numFmtId="2" fontId="11" fillId="0" borderId="9" xfId="0" applyNumberFormat="1" applyFont="1" applyBorder="1" applyAlignment="1">
      <alignment horizontal="center"/>
    </xf>
    <xf numFmtId="165" fontId="13" fillId="0" borderId="0" xfId="0" applyNumberFormat="1" applyFont="1"/>
    <xf numFmtId="0" fontId="0" fillId="0" borderId="16" xfId="0" applyBorder="1" applyAlignment="1">
      <alignment horizontal="center"/>
    </xf>
    <xf numFmtId="165" fontId="12" fillId="0" borderId="0" xfId="0" applyNumberFormat="1" applyFont="1" applyAlignment="1">
      <alignment horizontal="center"/>
    </xf>
    <xf numFmtId="0" fontId="10" fillId="3" borderId="2" xfId="0" applyFont="1" applyFill="1" applyBorder="1" applyAlignment="1" applyProtection="1">
      <alignment horizontal="center"/>
    </xf>
    <xf numFmtId="165" fontId="12" fillId="0" borderId="0" xfId="0" applyNumberFormat="1" applyFont="1" applyAlignment="1">
      <alignment horizontal="right"/>
    </xf>
    <xf numFmtId="165" fontId="13" fillId="0" borderId="11" xfId="0" applyNumberFormat="1" applyFont="1" applyBorder="1" applyAlignment="1">
      <alignment horizontal="center"/>
    </xf>
    <xf numFmtId="165" fontId="15" fillId="0" borderId="14" xfId="0" applyNumberFormat="1" applyFont="1" applyBorder="1" applyAlignment="1">
      <alignment horizontal="center"/>
    </xf>
    <xf numFmtId="2" fontId="10" fillId="0" borderId="17" xfId="0" applyNumberFormat="1" applyFont="1" applyBorder="1" applyAlignment="1">
      <alignment horizontal="center"/>
    </xf>
    <xf numFmtId="2" fontId="10" fillId="0" borderId="19" xfId="0" applyNumberFormat="1" applyFont="1" applyBorder="1" applyAlignment="1">
      <alignment horizontal="center"/>
    </xf>
    <xf numFmtId="2" fontId="10" fillId="0" borderId="48" xfId="0" applyNumberFormat="1" applyFont="1" applyBorder="1" applyAlignment="1">
      <alignment horizontal="center"/>
    </xf>
    <xf numFmtId="2" fontId="10" fillId="0" borderId="45" xfId="0" applyNumberFormat="1" applyFont="1" applyBorder="1" applyAlignment="1">
      <alignment horizontal="center"/>
    </xf>
    <xf numFmtId="165" fontId="13" fillId="0" borderId="23" xfId="0" applyNumberFormat="1" applyFont="1" applyBorder="1" applyAlignment="1">
      <alignment horizontal="center"/>
    </xf>
    <xf numFmtId="165" fontId="13" fillId="0" borderId="29" xfId="0" applyNumberFormat="1" applyFont="1" applyBorder="1" applyAlignment="1">
      <alignment horizontal="center"/>
    </xf>
    <xf numFmtId="1" fontId="16" fillId="0" borderId="0" xfId="0" applyNumberFormat="1" applyFont="1" applyAlignment="1">
      <alignment horizontal="left"/>
    </xf>
    <xf numFmtId="3" fontId="16" fillId="0" borderId="0" xfId="0" applyNumberFormat="1" applyFont="1" applyAlignment="1">
      <alignment horizontal="left"/>
    </xf>
    <xf numFmtId="3" fontId="12" fillId="0" borderId="0" xfId="0" applyNumberFormat="1" applyFont="1" applyAlignment="1">
      <alignment horizontal="right"/>
    </xf>
    <xf numFmtId="0" fontId="15" fillId="0" borderId="0" xfId="0" applyFont="1" applyFill="1" applyBorder="1" applyAlignment="1">
      <alignment horizontal="center"/>
    </xf>
    <xf numFmtId="0" fontId="10" fillId="0" borderId="10" xfId="0" applyFont="1" applyBorder="1" applyAlignment="1">
      <alignment horizontal="center"/>
    </xf>
    <xf numFmtId="3" fontId="10" fillId="0" borderId="10" xfId="0" applyNumberFormat="1" applyFont="1" applyBorder="1" applyAlignment="1">
      <alignment horizontal="center"/>
    </xf>
    <xf numFmtId="3" fontId="10" fillId="2" borderId="35" xfId="0" applyNumberFormat="1" applyFont="1" applyFill="1" applyBorder="1" applyAlignment="1" applyProtection="1">
      <alignment horizontal="center"/>
      <protection locked="0"/>
    </xf>
    <xf numFmtId="3" fontId="10" fillId="2" borderId="40" xfId="0" applyNumberFormat="1" applyFont="1" applyFill="1" applyBorder="1" applyAlignment="1" applyProtection="1">
      <alignment horizontal="center"/>
      <protection locked="0"/>
    </xf>
    <xf numFmtId="3" fontId="10" fillId="0" borderId="16" xfId="0" applyNumberFormat="1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10" fillId="2" borderId="17" xfId="0" applyFont="1" applyFill="1" applyBorder="1" applyAlignment="1" applyProtection="1">
      <alignment horizontal="center"/>
      <protection locked="0"/>
    </xf>
    <xf numFmtId="0" fontId="10" fillId="2" borderId="18" xfId="0" applyFont="1" applyFill="1" applyBorder="1" applyAlignment="1" applyProtection="1">
      <alignment horizontal="center"/>
      <protection locked="0"/>
    </xf>
    <xf numFmtId="0" fontId="10" fillId="2" borderId="19" xfId="0" applyFont="1" applyFill="1" applyBorder="1" applyAlignment="1" applyProtection="1">
      <alignment horizontal="center"/>
      <protection locked="0"/>
    </xf>
    <xf numFmtId="0" fontId="10" fillId="2" borderId="23" xfId="0" applyNumberFormat="1" applyFont="1" applyFill="1" applyBorder="1" applyAlignment="1" applyProtection="1">
      <alignment horizontal="center" vertical="center"/>
      <protection locked="0"/>
    </xf>
    <xf numFmtId="0" fontId="10" fillId="2" borderId="29" xfId="0" applyNumberFormat="1" applyFont="1" applyFill="1" applyBorder="1" applyAlignment="1" applyProtection="1">
      <alignment horizontal="center" vertical="center"/>
      <protection locked="0"/>
    </xf>
    <xf numFmtId="0" fontId="10" fillId="0" borderId="17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1" fontId="10" fillId="2" borderId="17" xfId="0" applyNumberFormat="1" applyFont="1" applyFill="1" applyBorder="1" applyAlignment="1" applyProtection="1">
      <alignment horizontal="center" vertical="center"/>
      <protection locked="0"/>
    </xf>
    <xf numFmtId="2" fontId="10" fillId="2" borderId="19" xfId="0" applyNumberFormat="1" applyFont="1" applyFill="1" applyBorder="1" applyAlignment="1" applyProtection="1">
      <alignment horizontal="center" vertical="center"/>
      <protection locked="0"/>
    </xf>
    <xf numFmtId="4" fontId="10" fillId="0" borderId="36" xfId="0" applyNumberFormat="1" applyFont="1" applyFill="1" applyBorder="1" applyAlignment="1" applyProtection="1">
      <alignment horizontal="right"/>
    </xf>
    <xf numFmtId="4" fontId="10" fillId="0" borderId="41" xfId="0" applyNumberFormat="1" applyFont="1" applyFill="1" applyBorder="1" applyAlignment="1" applyProtection="1">
      <alignment horizontal="right"/>
    </xf>
    <xf numFmtId="0" fontId="2" fillId="0" borderId="0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5" fillId="0" borderId="0" xfId="0" applyFont="1" applyBorder="1"/>
    <xf numFmtId="0" fontId="5" fillId="0" borderId="0" xfId="0" applyFont="1" applyBorder="1" applyAlignment="1">
      <alignment horizontal="left"/>
    </xf>
    <xf numFmtId="0" fontId="21" fillId="0" borderId="0" xfId="2" applyFont="1" applyBorder="1" applyAlignment="1" applyProtection="1">
      <alignment horizontal="center"/>
    </xf>
    <xf numFmtId="0" fontId="10" fillId="0" borderId="0" xfId="0" applyFont="1" applyBorder="1" applyAlignment="1">
      <alignment horizontal="center" vertical="center" wrapText="1"/>
    </xf>
    <xf numFmtId="0" fontId="10" fillId="3" borderId="0" xfId="0" applyNumberFormat="1" applyFont="1" applyFill="1" applyBorder="1" applyAlignment="1" applyProtection="1">
      <alignment horizontal="right" vertical="center"/>
    </xf>
    <xf numFmtId="169" fontId="10" fillId="0" borderId="0" xfId="0" applyNumberFormat="1" applyFont="1" applyBorder="1" applyAlignment="1">
      <alignment horizontal="center" vertical="center"/>
    </xf>
    <xf numFmtId="0" fontId="13" fillId="3" borderId="0" xfId="0" applyNumberFormat="1" applyFont="1" applyFill="1" applyBorder="1" applyAlignment="1" applyProtection="1">
      <alignment horizontal="right" vertical="center"/>
    </xf>
    <xf numFmtId="169" fontId="13" fillId="0" borderId="0" xfId="0" applyNumberFormat="1" applyFont="1" applyBorder="1" applyAlignment="1">
      <alignment horizontal="center" vertical="center"/>
    </xf>
    <xf numFmtId="169" fontId="10" fillId="0" borderId="10" xfId="0" applyNumberFormat="1" applyFont="1" applyBorder="1" applyAlignment="1">
      <alignment horizontal="center" vertical="center"/>
    </xf>
    <xf numFmtId="169" fontId="10" fillId="0" borderId="6" xfId="0" applyNumberFormat="1" applyFont="1" applyBorder="1" applyAlignment="1">
      <alignment horizontal="center" vertical="center"/>
    </xf>
    <xf numFmtId="169" fontId="10" fillId="0" borderId="7" xfId="0" applyNumberFormat="1" applyFont="1" applyBorder="1" applyAlignment="1">
      <alignment horizontal="center" vertical="center"/>
    </xf>
    <xf numFmtId="169" fontId="10" fillId="0" borderId="12" xfId="0" applyNumberFormat="1" applyFont="1" applyBorder="1" applyAlignment="1">
      <alignment horizontal="center" vertical="center"/>
    </xf>
    <xf numFmtId="0" fontId="10" fillId="2" borderId="9" xfId="0" applyNumberFormat="1" applyFont="1" applyFill="1" applyBorder="1" applyAlignment="1" applyProtection="1">
      <alignment horizontal="center" vertical="center"/>
      <protection locked="0"/>
    </xf>
    <xf numFmtId="166" fontId="10" fillId="0" borderId="3" xfId="0" applyNumberFormat="1" applyFont="1" applyBorder="1" applyAlignment="1">
      <alignment horizontal="center"/>
    </xf>
    <xf numFmtId="173" fontId="10" fillId="0" borderId="3" xfId="3" applyNumberFormat="1" applyFont="1" applyBorder="1" applyAlignment="1">
      <alignment horizontal="center"/>
    </xf>
    <xf numFmtId="2" fontId="10" fillId="2" borderId="3" xfId="0" applyNumberFormat="1" applyFont="1" applyFill="1" applyBorder="1" applyAlignment="1" applyProtection="1">
      <alignment horizontal="center"/>
      <protection locked="0"/>
    </xf>
    <xf numFmtId="173" fontId="10" fillId="0" borderId="0" xfId="3" applyNumberFormat="1" applyFont="1" applyAlignment="1">
      <alignment horizontal="left"/>
    </xf>
    <xf numFmtId="0" fontId="16" fillId="0" borderId="0" xfId="0" applyFont="1" applyBorder="1"/>
    <xf numFmtId="165" fontId="10" fillId="0" borderId="4" xfId="0" applyNumberFormat="1" applyFont="1" applyBorder="1" applyAlignment="1">
      <alignment horizontal="center"/>
    </xf>
    <xf numFmtId="166" fontId="10" fillId="0" borderId="0" xfId="0" applyNumberFormat="1" applyFont="1" applyAlignment="1">
      <alignment horizontal="left"/>
    </xf>
    <xf numFmtId="165" fontId="10" fillId="0" borderId="55" xfId="0" applyNumberFormat="1" applyFont="1" applyBorder="1" applyAlignment="1">
      <alignment horizontal="center"/>
    </xf>
    <xf numFmtId="165" fontId="10" fillId="0" borderId="23" xfId="0" applyNumberFormat="1" applyFont="1" applyBorder="1" applyAlignment="1">
      <alignment horizontal="center"/>
    </xf>
    <xf numFmtId="165" fontId="10" fillId="0" borderId="27" xfId="0" applyNumberFormat="1" applyFont="1" applyBorder="1" applyAlignment="1">
      <alignment horizontal="center"/>
    </xf>
    <xf numFmtId="165" fontId="10" fillId="0" borderId="26" xfId="0" applyNumberFormat="1" applyFont="1" applyBorder="1" applyAlignment="1">
      <alignment horizontal="center"/>
    </xf>
    <xf numFmtId="165" fontId="10" fillId="0" borderId="56" xfId="0" applyNumberFormat="1" applyFont="1" applyBorder="1" applyAlignment="1">
      <alignment horizontal="center"/>
    </xf>
    <xf numFmtId="165" fontId="10" fillId="0" borderId="29" xfId="0" applyNumberFormat="1" applyFont="1" applyBorder="1" applyAlignment="1">
      <alignment horizontal="center"/>
    </xf>
    <xf numFmtId="165" fontId="10" fillId="0" borderId="5" xfId="0" applyNumberFormat="1" applyFont="1" applyFill="1" applyBorder="1" applyAlignment="1">
      <alignment horizontal="center"/>
    </xf>
    <xf numFmtId="165" fontId="10" fillId="0" borderId="3" xfId="0" applyNumberFormat="1" applyFont="1" applyFill="1" applyBorder="1" applyAlignment="1">
      <alignment horizontal="center"/>
    </xf>
    <xf numFmtId="1" fontId="10" fillId="2" borderId="3" xfId="0" applyNumberFormat="1" applyFont="1" applyFill="1" applyBorder="1" applyAlignment="1" applyProtection="1">
      <alignment horizontal="center"/>
      <protection locked="0"/>
    </xf>
    <xf numFmtId="167" fontId="10" fillId="2" borderId="35" xfId="0" applyNumberFormat="1" applyFont="1" applyFill="1" applyBorder="1" applyAlignment="1" applyProtection="1">
      <alignment horizontal="center"/>
      <protection locked="0"/>
    </xf>
    <xf numFmtId="167" fontId="10" fillId="2" borderId="40" xfId="0" applyNumberFormat="1" applyFont="1" applyFill="1" applyBorder="1" applyAlignment="1" applyProtection="1">
      <alignment horizontal="center"/>
      <protection locked="0"/>
    </xf>
    <xf numFmtId="167" fontId="10" fillId="0" borderId="10" xfId="0" applyNumberFormat="1" applyFont="1" applyBorder="1" applyAlignment="1">
      <alignment horizontal="center"/>
    </xf>
    <xf numFmtId="170" fontId="10" fillId="0" borderId="10" xfId="0" applyNumberFormat="1" applyFont="1" applyBorder="1" applyAlignment="1">
      <alignment horizontal="center"/>
    </xf>
    <xf numFmtId="167" fontId="10" fillId="0" borderId="16" xfId="0" applyNumberFormat="1" applyFont="1" applyBorder="1" applyAlignment="1">
      <alignment horizontal="center"/>
    </xf>
    <xf numFmtId="167" fontId="10" fillId="0" borderId="14" xfId="0" applyNumberFormat="1" applyFont="1" applyBorder="1" applyAlignment="1">
      <alignment horizontal="center"/>
    </xf>
    <xf numFmtId="167" fontId="10" fillId="0" borderId="11" xfId="0" applyNumberFormat="1" applyFont="1" applyBorder="1" applyAlignment="1">
      <alignment horizontal="center"/>
    </xf>
    <xf numFmtId="170" fontId="10" fillId="0" borderId="11" xfId="0" applyNumberFormat="1" applyFont="1" applyBorder="1" applyAlignment="1">
      <alignment horizontal="center"/>
    </xf>
    <xf numFmtId="170" fontId="10" fillId="0" borderId="0" xfId="0" applyNumberFormat="1" applyFont="1" applyBorder="1"/>
    <xf numFmtId="170" fontId="10" fillId="0" borderId="7" xfId="0" applyNumberFormat="1" applyFont="1" applyBorder="1"/>
    <xf numFmtId="167" fontId="10" fillId="0" borderId="2" xfId="0" applyNumberFormat="1" applyFont="1" applyBorder="1" applyAlignment="1">
      <alignment horizontal="center"/>
    </xf>
    <xf numFmtId="0" fontId="10" fillId="0" borderId="44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0" fillId="0" borderId="0" xfId="0" applyFont="1" applyFill="1" applyBorder="1" applyAlignment="1">
      <alignment horizontal="right"/>
    </xf>
    <xf numFmtId="0" fontId="10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0" fillId="0" borderId="0" xfId="0" applyFont="1" applyFill="1" applyBorder="1" applyAlignment="1">
      <alignment horizontal="right"/>
    </xf>
    <xf numFmtId="165" fontId="10" fillId="0" borderId="5" xfId="0" applyNumberFormat="1" applyFont="1" applyBorder="1" applyAlignment="1">
      <alignment horizontal="center" vertical="center" wrapText="1"/>
    </xf>
    <xf numFmtId="0" fontId="10" fillId="0" borderId="9" xfId="0" applyFont="1" applyBorder="1"/>
    <xf numFmtId="0" fontId="10" fillId="0" borderId="9" xfId="0" applyFont="1" applyBorder="1" applyAlignment="1">
      <alignment vertical="center" wrapText="1"/>
    </xf>
    <xf numFmtId="0" fontId="10" fillId="2" borderId="23" xfId="0" applyFont="1" applyFill="1" applyBorder="1" applyProtection="1">
      <protection locked="0"/>
    </xf>
    <xf numFmtId="0" fontId="10" fillId="2" borderId="26" xfId="0" applyFont="1" applyFill="1" applyBorder="1" applyProtection="1">
      <protection locked="0"/>
    </xf>
    <xf numFmtId="0" fontId="10" fillId="2" borderId="29" xfId="0" applyFont="1" applyFill="1" applyBorder="1" applyProtection="1">
      <protection locked="0"/>
    </xf>
    <xf numFmtId="0" fontId="10" fillId="0" borderId="43" xfId="0" applyFont="1" applyBorder="1" applyAlignment="1">
      <alignment horizontal="center"/>
    </xf>
    <xf numFmtId="2" fontId="10" fillId="0" borderId="57" xfId="0" applyNumberFormat="1" applyFont="1" applyBorder="1" applyAlignment="1">
      <alignment horizontal="center"/>
    </xf>
    <xf numFmtId="39" fontId="10" fillId="0" borderId="0" xfId="1" applyNumberFormat="1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5" xfId="0" applyNumberFormat="1" applyFont="1" applyFill="1" applyBorder="1" applyAlignment="1">
      <alignment horizontal="center"/>
    </xf>
    <xf numFmtId="0" fontId="10" fillId="0" borderId="3" xfId="0" applyNumberFormat="1" applyFont="1" applyFill="1" applyBorder="1" applyAlignment="1">
      <alignment horizontal="center"/>
    </xf>
    <xf numFmtId="0" fontId="10" fillId="2" borderId="46" xfId="0" applyNumberFormat="1" applyFont="1" applyFill="1" applyBorder="1" applyAlignment="1" applyProtection="1">
      <alignment horizontal="center"/>
      <protection locked="0"/>
    </xf>
    <xf numFmtId="0" fontId="10" fillId="0" borderId="26" xfId="0" applyNumberFormat="1" applyFont="1" applyBorder="1" applyAlignment="1">
      <alignment horizontal="right"/>
    </xf>
    <xf numFmtId="0" fontId="10" fillId="0" borderId="26" xfId="0" applyNumberFormat="1" applyFont="1" applyBorder="1" applyAlignment="1">
      <alignment horizontal="center"/>
    </xf>
    <xf numFmtId="0" fontId="10" fillId="2" borderId="47" xfId="0" applyNumberFormat="1" applyFont="1" applyFill="1" applyBorder="1" applyAlignment="1" applyProtection="1">
      <alignment horizontal="center"/>
      <protection locked="0"/>
    </xf>
    <xf numFmtId="0" fontId="10" fillId="0" borderId="29" xfId="0" applyNumberFormat="1" applyFont="1" applyBorder="1" applyAlignment="1">
      <alignment horizontal="center"/>
    </xf>
    <xf numFmtId="0" fontId="10" fillId="0" borderId="3" xfId="0" applyNumberFormat="1" applyFont="1" applyBorder="1" applyAlignment="1">
      <alignment horizontal="center"/>
    </xf>
    <xf numFmtId="0" fontId="10" fillId="0" borderId="5" xfId="0" applyNumberFormat="1" applyFont="1" applyBorder="1" applyAlignment="1">
      <alignment horizontal="center"/>
    </xf>
    <xf numFmtId="0" fontId="22" fillId="4" borderId="3" xfId="0" applyNumberFormat="1" applyFont="1" applyFill="1" applyBorder="1"/>
    <xf numFmtId="165" fontId="13" fillId="0" borderId="14" xfId="0" applyNumberFormat="1" applyFont="1" applyBorder="1" applyAlignment="1">
      <alignment horizontal="center"/>
    </xf>
    <xf numFmtId="0" fontId="1" fillId="0" borderId="0" xfId="0" applyFont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0" borderId="0" xfId="0"/>
    <xf numFmtId="0" fontId="3" fillId="0" borderId="0" xfId="0" applyFont="1"/>
    <xf numFmtId="0" fontId="2" fillId="0" borderId="0" xfId="0" applyFont="1" applyAlignment="1">
      <alignment horizontal="left"/>
    </xf>
    <xf numFmtId="0" fontId="8" fillId="0" borderId="0" xfId="2" applyAlignment="1" applyProtection="1">
      <alignment horizontal="left"/>
    </xf>
    <xf numFmtId="0" fontId="10" fillId="0" borderId="2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1" fillId="2" borderId="15" xfId="2" applyFont="1" applyFill="1" applyBorder="1" applyAlignment="1" applyProtection="1">
      <alignment horizontal="center" vertical="center"/>
    </xf>
    <xf numFmtId="0" fontId="21" fillId="2" borderId="9" xfId="2" applyFont="1" applyFill="1" applyBorder="1" applyAlignment="1" applyProtection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0" fontId="21" fillId="2" borderId="15" xfId="2" applyFont="1" applyFill="1" applyBorder="1" applyAlignment="1" applyProtection="1">
      <alignment horizontal="center" vertical="center" wrapText="1"/>
    </xf>
    <xf numFmtId="0" fontId="21" fillId="2" borderId="9" xfId="2" applyFont="1" applyFill="1" applyBorder="1" applyAlignment="1" applyProtection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right"/>
    </xf>
    <xf numFmtId="0" fontId="10" fillId="0" borderId="3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6" fillId="0" borderId="10" xfId="0" applyFont="1" applyBorder="1" applyAlignment="1">
      <alignment horizontal="left"/>
    </xf>
    <xf numFmtId="166" fontId="16" fillId="0" borderId="10" xfId="0" applyNumberFormat="1" applyFont="1" applyBorder="1" applyAlignment="1">
      <alignment horizontal="left"/>
    </xf>
    <xf numFmtId="2" fontId="16" fillId="0" borderId="10" xfId="0" applyNumberFormat="1" applyFont="1" applyBorder="1" applyAlignment="1">
      <alignment horizontal="left"/>
    </xf>
    <xf numFmtId="0" fontId="2" fillId="0" borderId="0" xfId="0" applyFont="1"/>
    <xf numFmtId="0" fontId="10" fillId="0" borderId="15" xfId="0" applyFont="1" applyBorder="1" applyAlignment="1">
      <alignment horizontal="center" wrapText="1"/>
    </xf>
    <xf numFmtId="0" fontId="10" fillId="0" borderId="9" xfId="0" applyFont="1" applyBorder="1" applyAlignment="1">
      <alignment horizontal="center" wrapText="1"/>
    </xf>
    <xf numFmtId="0" fontId="10" fillId="2" borderId="13" xfId="0" applyFont="1" applyFill="1" applyBorder="1" applyAlignment="1" applyProtection="1">
      <alignment horizontal="left"/>
      <protection locked="0"/>
    </xf>
    <xf numFmtId="0" fontId="10" fillId="2" borderId="16" xfId="0" applyFont="1" applyFill="1" applyBorder="1" applyAlignment="1" applyProtection="1">
      <alignment horizontal="left"/>
      <protection locked="0"/>
    </xf>
    <xf numFmtId="0" fontId="10" fillId="2" borderId="14" xfId="0" applyFont="1" applyFill="1" applyBorder="1" applyAlignment="1" applyProtection="1">
      <alignment horizontal="left"/>
      <protection locked="0"/>
    </xf>
    <xf numFmtId="0" fontId="10" fillId="2" borderId="8" xfId="0" applyFont="1" applyFill="1" applyBorder="1" applyAlignment="1" applyProtection="1">
      <alignment horizontal="left"/>
      <protection locked="0"/>
    </xf>
    <xf numFmtId="0" fontId="10" fillId="2" borderId="10" xfId="0" applyFont="1" applyFill="1" applyBorder="1" applyAlignment="1" applyProtection="1">
      <alignment horizontal="left"/>
      <protection locked="0"/>
    </xf>
    <xf numFmtId="0" fontId="10" fillId="2" borderId="11" xfId="0" applyFont="1" applyFill="1" applyBorder="1" applyAlignment="1" applyProtection="1">
      <alignment horizontal="left"/>
      <protection locked="0"/>
    </xf>
    <xf numFmtId="0" fontId="8" fillId="2" borderId="15" xfId="2" applyFill="1" applyBorder="1" applyAlignment="1" applyProtection="1">
      <alignment horizontal="center" vertical="center"/>
    </xf>
    <xf numFmtId="0" fontId="8" fillId="2" borderId="9" xfId="2" applyFill="1" applyBorder="1" applyAlignment="1" applyProtection="1">
      <alignment horizontal="center" vertical="center"/>
    </xf>
    <xf numFmtId="0" fontId="10" fillId="0" borderId="13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165" fontId="16" fillId="0" borderId="10" xfId="0" applyNumberFormat="1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0" xfId="0" applyFont="1" applyAlignment="1">
      <alignment horizontal="left"/>
    </xf>
    <xf numFmtId="0" fontId="11" fillId="0" borderId="10" xfId="0" applyFont="1" applyBorder="1" applyAlignment="1">
      <alignment horizontal="left"/>
    </xf>
    <xf numFmtId="0" fontId="10" fillId="0" borderId="8" xfId="0" applyFont="1" applyBorder="1" applyAlignment="1">
      <alignment horizontal="left"/>
    </xf>
    <xf numFmtId="0" fontId="10" fillId="0" borderId="10" xfId="0" applyFont="1" applyBorder="1" applyAlignment="1">
      <alignment horizontal="left"/>
    </xf>
    <xf numFmtId="0" fontId="10" fillId="0" borderId="6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10" fillId="0" borderId="0" xfId="0" applyFont="1" applyBorder="1" applyAlignment="1">
      <alignment horizontal="left"/>
    </xf>
    <xf numFmtId="0" fontId="10" fillId="2" borderId="13" xfId="0" applyFont="1" applyFill="1" applyBorder="1" applyAlignment="1" applyProtection="1">
      <alignment horizontal="left" vertical="top" wrapText="1"/>
      <protection locked="0"/>
    </xf>
    <xf numFmtId="0" fontId="10" fillId="2" borderId="16" xfId="0" applyFont="1" applyFill="1" applyBorder="1" applyAlignment="1" applyProtection="1">
      <alignment horizontal="left" vertical="top" wrapText="1"/>
      <protection locked="0"/>
    </xf>
    <xf numFmtId="0" fontId="10" fillId="2" borderId="14" xfId="0" applyFont="1" applyFill="1" applyBorder="1" applyAlignment="1" applyProtection="1">
      <alignment horizontal="left" vertical="top" wrapText="1"/>
      <protection locked="0"/>
    </xf>
    <xf numFmtId="0" fontId="10" fillId="2" borderId="8" xfId="0" applyFont="1" applyFill="1" applyBorder="1" applyAlignment="1" applyProtection="1">
      <alignment horizontal="left" vertical="top" wrapText="1"/>
      <protection locked="0"/>
    </xf>
    <xf numFmtId="0" fontId="10" fillId="2" borderId="10" xfId="0" applyFont="1" applyFill="1" applyBorder="1" applyAlignment="1" applyProtection="1">
      <alignment horizontal="left" vertical="top" wrapText="1"/>
      <protection locked="0"/>
    </xf>
    <xf numFmtId="0" fontId="10" fillId="2" borderId="11" xfId="0" applyFont="1" applyFill="1" applyBorder="1" applyAlignment="1" applyProtection="1">
      <alignment horizontal="left" vertical="top" wrapText="1"/>
      <protection locked="0"/>
    </xf>
    <xf numFmtId="0" fontId="10" fillId="0" borderId="0" xfId="0" applyFont="1" applyFill="1" applyBorder="1" applyAlignment="1">
      <alignment horizontal="right"/>
    </xf>
    <xf numFmtId="0" fontId="10" fillId="2" borderId="2" xfId="0" applyFont="1" applyFill="1" applyBorder="1" applyAlignment="1" applyProtection="1">
      <alignment horizontal="left"/>
      <protection locked="0"/>
    </xf>
    <xf numFmtId="0" fontId="10" fillId="2" borderId="4" xfId="0" applyFont="1" applyFill="1" applyBorder="1" applyAlignment="1" applyProtection="1">
      <alignment horizontal="left"/>
      <protection locked="0"/>
    </xf>
    <xf numFmtId="0" fontId="10" fillId="2" borderId="5" xfId="0" applyFont="1" applyFill="1" applyBorder="1" applyAlignment="1" applyProtection="1">
      <alignment horizontal="left"/>
      <protection locked="0"/>
    </xf>
    <xf numFmtId="0" fontId="11" fillId="0" borderId="0" xfId="0" applyFont="1" applyFill="1" applyBorder="1" applyAlignment="1">
      <alignment horizontal="right"/>
    </xf>
    <xf numFmtId="0" fontId="11" fillId="0" borderId="10" xfId="0" applyFont="1" applyFill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6" fillId="0" borderId="0" xfId="0" applyFont="1" applyFill="1" applyBorder="1" applyAlignment="1">
      <alignment horizontal="right"/>
    </xf>
    <xf numFmtId="0" fontId="10" fillId="0" borderId="0" xfId="0" applyFont="1" applyAlignment="1">
      <alignment horizontal="right"/>
    </xf>
    <xf numFmtId="0" fontId="2" fillId="0" borderId="7" xfId="0" applyFont="1" applyBorder="1"/>
    <xf numFmtId="0" fontId="10" fillId="0" borderId="13" xfId="0" applyFont="1" applyBorder="1" applyAlignment="1">
      <alignment horizontal="center" wrapText="1"/>
    </xf>
    <xf numFmtId="0" fontId="10" fillId="0" borderId="8" xfId="0" applyFont="1" applyBorder="1" applyAlignment="1">
      <alignment horizontal="center" wrapText="1"/>
    </xf>
    <xf numFmtId="0" fontId="10" fillId="2" borderId="13" xfId="0" applyFont="1" applyFill="1" applyBorder="1" applyProtection="1">
      <protection locked="0"/>
    </xf>
    <xf numFmtId="0" fontId="10" fillId="2" borderId="16" xfId="0" applyFont="1" applyFill="1" applyBorder="1" applyProtection="1">
      <protection locked="0"/>
    </xf>
    <xf numFmtId="0" fontId="10" fillId="2" borderId="14" xfId="0" applyFont="1" applyFill="1" applyBorder="1" applyProtection="1">
      <protection locked="0"/>
    </xf>
    <xf numFmtId="0" fontId="10" fillId="2" borderId="8" xfId="0" applyFont="1" applyFill="1" applyBorder="1" applyProtection="1">
      <protection locked="0"/>
    </xf>
    <xf numFmtId="0" fontId="10" fillId="2" borderId="10" xfId="0" applyFont="1" applyFill="1" applyBorder="1" applyProtection="1">
      <protection locked="0"/>
    </xf>
    <xf numFmtId="0" fontId="10" fillId="2" borderId="11" xfId="0" applyFont="1" applyFill="1" applyBorder="1" applyProtection="1">
      <protection locked="0"/>
    </xf>
    <xf numFmtId="0" fontId="14" fillId="2" borderId="13" xfId="0" applyFont="1" applyFill="1" applyBorder="1" applyProtection="1">
      <protection locked="0"/>
    </xf>
    <xf numFmtId="0" fontId="14" fillId="2" borderId="16" xfId="0" applyFont="1" applyFill="1" applyBorder="1" applyProtection="1">
      <protection locked="0"/>
    </xf>
    <xf numFmtId="0" fontId="14" fillId="2" borderId="14" xfId="0" applyFont="1" applyFill="1" applyBorder="1" applyProtection="1">
      <protection locked="0"/>
    </xf>
    <xf numFmtId="0" fontId="19" fillId="0" borderId="0" xfId="0" applyFont="1"/>
    <xf numFmtId="0" fontId="2" fillId="0" borderId="10" xfId="0" applyFont="1" applyBorder="1" applyAlignment="1">
      <alignment horizontal="center"/>
    </xf>
  </cellXfs>
  <cellStyles count="4">
    <cellStyle name="Komma" xfId="1" builtinId="3"/>
    <cellStyle name="Link" xfId="2" builtinId="8"/>
    <cellStyle name="Normal" xfId="0" builtinId="0"/>
    <cellStyle name="Procent" xfId="3" builtinId="5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ph.au.dk/uddannelse/software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37"/>
  <sheetViews>
    <sheetView topLeftCell="A15" workbookViewId="0">
      <selection activeCell="D45" sqref="D45"/>
    </sheetView>
  </sheetViews>
  <sheetFormatPr defaultRowHeight="12.75" x14ac:dyDescent="0.2"/>
  <cols>
    <col min="1" max="1" width="12.7109375" customWidth="1"/>
    <col min="2" max="2" width="5.7109375" customWidth="1"/>
    <col min="3" max="3" width="10.7109375" customWidth="1"/>
    <col min="4" max="4" width="5.7109375" customWidth="1"/>
    <col min="5" max="5" width="10.7109375" customWidth="1"/>
    <col min="6" max="6" width="5.7109375" customWidth="1"/>
    <col min="7" max="7" width="10.7109375" customWidth="1"/>
    <col min="8" max="8" width="5.7109375" customWidth="1"/>
    <col min="9" max="9" width="10.7109375" customWidth="1"/>
  </cols>
  <sheetData>
    <row r="1" spans="1:9" ht="23.25" x14ac:dyDescent="0.35">
      <c r="A1" s="463" t="s">
        <v>281</v>
      </c>
      <c r="B1" s="463"/>
      <c r="C1" s="463"/>
      <c r="D1" s="463"/>
      <c r="E1" s="463"/>
      <c r="F1" s="463"/>
      <c r="G1" s="463"/>
      <c r="H1" s="463"/>
      <c r="I1" s="463"/>
    </row>
    <row r="2" spans="1:9" ht="15" x14ac:dyDescent="0.2">
      <c r="A2" s="464" t="s">
        <v>282</v>
      </c>
      <c r="B2" s="464"/>
      <c r="C2" s="464"/>
      <c r="D2" s="464"/>
      <c r="E2" s="464"/>
      <c r="F2" s="464"/>
      <c r="G2" s="464"/>
      <c r="H2" s="464"/>
      <c r="I2" s="464"/>
    </row>
    <row r="3" spans="1:9" ht="15" x14ac:dyDescent="0.2">
      <c r="A3" s="464"/>
      <c r="B3" s="464"/>
      <c r="C3" s="464"/>
      <c r="D3" s="464"/>
      <c r="E3" s="464"/>
      <c r="F3" s="464"/>
      <c r="G3" s="464"/>
      <c r="H3" s="464"/>
      <c r="I3" s="464"/>
    </row>
    <row r="6" spans="1:9" ht="12.75" customHeight="1" x14ac:dyDescent="0.2">
      <c r="A6" t="s">
        <v>82</v>
      </c>
    </row>
    <row r="7" spans="1:9" x14ac:dyDescent="0.2">
      <c r="A7" s="466" t="s">
        <v>83</v>
      </c>
      <c r="B7" s="466"/>
      <c r="C7" s="466"/>
      <c r="D7" s="466"/>
      <c r="E7" s="319" t="s">
        <v>84</v>
      </c>
      <c r="F7" s="465" t="s">
        <v>85</v>
      </c>
      <c r="G7" s="465"/>
    </row>
    <row r="8" spans="1:9" x14ac:dyDescent="0.2">
      <c r="A8" s="280"/>
      <c r="B8" s="280"/>
      <c r="C8" s="280"/>
      <c r="D8" s="280"/>
      <c r="F8" s="279"/>
      <c r="G8" s="279"/>
    </row>
    <row r="9" spans="1:9" x14ac:dyDescent="0.2">
      <c r="A9" s="465" t="s">
        <v>176</v>
      </c>
      <c r="B9" s="465"/>
      <c r="C9" s="465"/>
      <c r="D9" s="465"/>
      <c r="E9" s="465"/>
      <c r="F9" s="465"/>
      <c r="G9" s="465"/>
      <c r="H9" s="465"/>
      <c r="I9" s="465"/>
    </row>
    <row r="10" spans="1:9" x14ac:dyDescent="0.2">
      <c r="A10" s="469" t="s">
        <v>177</v>
      </c>
      <c r="B10" s="465"/>
      <c r="C10" s="465"/>
      <c r="D10" s="465"/>
      <c r="E10" s="465"/>
      <c r="F10" s="465"/>
      <c r="G10" s="465"/>
      <c r="H10" s="465"/>
      <c r="I10" s="465"/>
    </row>
    <row r="11" spans="1:9" x14ac:dyDescent="0.2">
      <c r="A11" s="469" t="s">
        <v>178</v>
      </c>
      <c r="B11" s="465"/>
      <c r="C11" s="465"/>
      <c r="D11" s="465"/>
      <c r="E11" s="465"/>
      <c r="F11" s="465"/>
      <c r="G11" s="465"/>
      <c r="H11" s="465"/>
      <c r="I11" s="465"/>
    </row>
    <row r="12" spans="1:9" x14ac:dyDescent="0.2">
      <c r="A12" s="469" t="s">
        <v>179</v>
      </c>
      <c r="B12" s="465"/>
      <c r="C12" s="465"/>
      <c r="D12" s="465"/>
      <c r="E12" s="465"/>
      <c r="F12" s="465"/>
      <c r="G12" s="465"/>
      <c r="H12" s="465"/>
      <c r="I12" s="465"/>
    </row>
    <row r="13" spans="1:9" x14ac:dyDescent="0.2">
      <c r="A13" s="469" t="s">
        <v>191</v>
      </c>
      <c r="B13" s="465"/>
      <c r="C13" s="465"/>
      <c r="D13" s="465"/>
      <c r="E13" s="465"/>
      <c r="F13" s="465"/>
      <c r="G13" s="465"/>
      <c r="H13" s="465"/>
      <c r="I13" s="465"/>
    </row>
    <row r="14" spans="1:9" ht="14.1" customHeight="1" x14ac:dyDescent="0.2">
      <c r="A14" s="10"/>
      <c r="B14" s="12"/>
      <c r="C14" s="293"/>
      <c r="D14" s="10"/>
      <c r="E14" s="293"/>
      <c r="F14" s="10"/>
      <c r="G14" s="293"/>
      <c r="H14" s="10"/>
      <c r="I14" s="293"/>
    </row>
    <row r="15" spans="1:9" ht="39.950000000000003" customHeight="1" x14ac:dyDescent="0.2">
      <c r="A15" s="12"/>
      <c r="B15" s="12"/>
      <c r="C15" s="391" t="s">
        <v>42</v>
      </c>
      <c r="D15" s="11"/>
      <c r="E15" s="11" t="s">
        <v>47</v>
      </c>
      <c r="F15" s="11"/>
      <c r="G15" s="11" t="s">
        <v>25</v>
      </c>
      <c r="H15" s="11"/>
      <c r="I15" s="11" t="s">
        <v>46</v>
      </c>
    </row>
    <row r="16" spans="1:9" ht="24.95" customHeight="1" x14ac:dyDescent="0.2">
      <c r="A16" s="14" t="s">
        <v>41</v>
      </c>
      <c r="B16" s="12"/>
      <c r="C16" s="316" t="s">
        <v>147</v>
      </c>
      <c r="D16" s="11"/>
      <c r="E16" s="316" t="s">
        <v>153</v>
      </c>
      <c r="F16" s="11"/>
      <c r="G16" s="316" t="s">
        <v>175</v>
      </c>
      <c r="H16" s="11"/>
      <c r="I16" s="310"/>
    </row>
    <row r="17" spans="1:9" ht="24.95" customHeight="1" x14ac:dyDescent="0.2">
      <c r="A17" s="14" t="s">
        <v>43</v>
      </c>
      <c r="B17" s="12"/>
      <c r="C17" s="316" t="s">
        <v>148</v>
      </c>
      <c r="D17" s="12"/>
      <c r="E17" s="316" t="s">
        <v>155</v>
      </c>
      <c r="F17" s="12"/>
      <c r="G17" s="316" t="s">
        <v>168</v>
      </c>
      <c r="H17" s="12"/>
      <c r="I17" s="311"/>
    </row>
    <row r="18" spans="1:9" ht="24.95" customHeight="1" x14ac:dyDescent="0.2">
      <c r="A18" s="14" t="s">
        <v>44</v>
      </c>
      <c r="B18" s="12"/>
      <c r="C18" s="316" t="s">
        <v>148</v>
      </c>
      <c r="D18" s="12"/>
      <c r="E18" s="316" t="s">
        <v>155</v>
      </c>
      <c r="F18" s="12"/>
      <c r="G18" s="316" t="s">
        <v>169</v>
      </c>
      <c r="H18" s="12"/>
      <c r="I18" s="316" t="s">
        <v>163</v>
      </c>
    </row>
    <row r="19" spans="1:9" ht="24.95" customHeight="1" x14ac:dyDescent="0.2">
      <c r="A19" s="14" t="s">
        <v>45</v>
      </c>
      <c r="B19" s="12"/>
      <c r="C19" s="316" t="s">
        <v>151</v>
      </c>
      <c r="D19" s="12"/>
      <c r="E19" s="316" t="s">
        <v>162</v>
      </c>
      <c r="F19" s="12"/>
      <c r="G19" s="316" t="s">
        <v>170</v>
      </c>
      <c r="H19" s="12"/>
      <c r="I19" s="311"/>
    </row>
    <row r="20" spans="1:9" ht="24.95" customHeight="1" x14ac:dyDescent="0.2">
      <c r="A20" s="10"/>
      <c r="B20" s="10"/>
      <c r="C20" s="10"/>
      <c r="D20" s="10"/>
      <c r="E20" s="10"/>
      <c r="F20" s="10"/>
      <c r="G20" s="10"/>
      <c r="H20" s="10"/>
      <c r="I20" s="10"/>
    </row>
    <row r="21" spans="1:9" ht="24.95" customHeight="1" x14ac:dyDescent="0.2">
      <c r="A21" s="293" t="s">
        <v>204</v>
      </c>
      <c r="B21" s="10"/>
      <c r="C21" s="316" t="s">
        <v>203</v>
      </c>
      <c r="D21" s="10"/>
      <c r="E21" s="10"/>
      <c r="F21" s="10"/>
      <c r="G21" s="10"/>
      <c r="H21" s="10"/>
      <c r="I21" s="10"/>
    </row>
    <row r="22" spans="1:9" ht="24.95" customHeight="1" x14ac:dyDescent="0.2">
      <c r="A22" s="10"/>
      <c r="B22" s="10"/>
      <c r="C22" s="10"/>
      <c r="D22" s="10"/>
      <c r="E22" s="10"/>
      <c r="F22" s="10"/>
      <c r="G22" s="10"/>
      <c r="H22" s="10"/>
      <c r="I22" s="10"/>
    </row>
    <row r="23" spans="1:9" ht="24.95" customHeight="1" x14ac:dyDescent="0.2">
      <c r="A23" s="293" t="s">
        <v>123</v>
      </c>
      <c r="B23" s="10"/>
      <c r="C23" s="316" t="s">
        <v>165</v>
      </c>
      <c r="D23" s="10"/>
      <c r="E23" s="10"/>
      <c r="F23" s="10"/>
      <c r="G23" s="10"/>
      <c r="H23" s="10"/>
      <c r="I23" s="10"/>
    </row>
    <row r="24" spans="1:9" ht="24.95" customHeight="1" x14ac:dyDescent="0.2">
      <c r="A24" s="10"/>
      <c r="B24" s="10"/>
      <c r="C24" s="10"/>
      <c r="D24" s="10"/>
      <c r="E24" s="10"/>
      <c r="F24" s="10"/>
      <c r="G24" s="10"/>
      <c r="H24" s="10"/>
      <c r="I24" s="10"/>
    </row>
    <row r="25" spans="1:9" ht="24.95" customHeight="1" x14ac:dyDescent="0.2">
      <c r="A25" s="293" t="s">
        <v>181</v>
      </c>
      <c r="B25" s="10"/>
      <c r="C25" s="316" t="s">
        <v>180</v>
      </c>
      <c r="D25" s="10"/>
      <c r="E25" s="10"/>
      <c r="F25" s="10"/>
      <c r="G25" s="10"/>
      <c r="H25" s="10"/>
      <c r="I25" s="10"/>
    </row>
    <row r="26" spans="1:9" ht="24.95" customHeight="1" x14ac:dyDescent="0.2"/>
    <row r="28" spans="1:9" x14ac:dyDescent="0.2">
      <c r="A28" s="468" t="s">
        <v>192</v>
      </c>
      <c r="B28" s="468"/>
      <c r="C28" s="468"/>
      <c r="D28" s="390" t="s">
        <v>193</v>
      </c>
      <c r="E28" t="s">
        <v>194</v>
      </c>
    </row>
    <row r="29" spans="1:9" x14ac:dyDescent="0.2">
      <c r="A29" s="467" t="s">
        <v>195</v>
      </c>
      <c r="B29" s="467"/>
      <c r="C29" s="467"/>
      <c r="D29" s="467"/>
      <c r="E29" s="467"/>
    </row>
    <row r="31" spans="1:9" x14ac:dyDescent="0.2">
      <c r="A31" s="465" t="s">
        <v>136</v>
      </c>
      <c r="B31" s="465"/>
      <c r="C31" s="465"/>
      <c r="D31" s="465"/>
      <c r="E31" s="470" t="s">
        <v>288</v>
      </c>
      <c r="F31" s="465"/>
      <c r="G31" s="465"/>
      <c r="H31" s="465"/>
      <c r="I31" s="465"/>
    </row>
    <row r="32" spans="1:9" x14ac:dyDescent="0.2">
      <c r="A32" s="465" t="s">
        <v>137</v>
      </c>
      <c r="B32" s="465"/>
      <c r="C32" s="465"/>
      <c r="D32" s="465"/>
      <c r="E32" s="465"/>
      <c r="F32" s="465"/>
      <c r="G32" s="465"/>
      <c r="H32" s="465"/>
      <c r="I32" s="465"/>
    </row>
    <row r="33" spans="1:4" x14ac:dyDescent="0.2">
      <c r="A33" s="439" t="s">
        <v>283</v>
      </c>
      <c r="B33" s="467" t="s">
        <v>198</v>
      </c>
      <c r="C33" s="467"/>
      <c r="D33" s="467"/>
    </row>
    <row r="34" spans="1:4" x14ac:dyDescent="0.2">
      <c r="A34" s="280" t="s">
        <v>196</v>
      </c>
      <c r="B34" s="467" t="s">
        <v>197</v>
      </c>
      <c r="C34" s="467"/>
      <c r="D34" s="467"/>
    </row>
    <row r="36" spans="1:4" x14ac:dyDescent="0.2">
      <c r="A36" s="467" t="s">
        <v>199</v>
      </c>
      <c r="B36" s="467"/>
      <c r="C36" s="467"/>
    </row>
    <row r="37" spans="1:4" x14ac:dyDescent="0.2">
      <c r="A37" s="462" t="s">
        <v>290</v>
      </c>
    </row>
  </sheetData>
  <mergeCells count="18">
    <mergeCell ref="A36:C36"/>
    <mergeCell ref="A28:C28"/>
    <mergeCell ref="A29:E29"/>
    <mergeCell ref="A9:I9"/>
    <mergeCell ref="A10:I10"/>
    <mergeCell ref="A12:I12"/>
    <mergeCell ref="A13:I13"/>
    <mergeCell ref="A11:I11"/>
    <mergeCell ref="A31:D31"/>
    <mergeCell ref="E31:I31"/>
    <mergeCell ref="A32:I32"/>
    <mergeCell ref="B34:D34"/>
    <mergeCell ref="B33:D33"/>
    <mergeCell ref="A1:I1"/>
    <mergeCell ref="A3:I3"/>
    <mergeCell ref="F7:G7"/>
    <mergeCell ref="A7:D7"/>
    <mergeCell ref="A2:I2"/>
  </mergeCells>
  <phoneticPr fontId="0" type="noConversion"/>
  <hyperlinks>
    <hyperlink ref="C16" location="'D means'!A1" display="D means"/>
    <hyperlink ref="C17" location="'D prop'!A1" display="D prop"/>
    <hyperlink ref="C18" location="'D prop'!A1" display="D prop"/>
    <hyperlink ref="C19" location="'D rates'!A1" display="D rates"/>
    <hyperlink ref="E16" location="'C means'!A1" display="C means"/>
    <hyperlink ref="E17" location="'C risk'!A1" display="C risk"/>
    <hyperlink ref="E18" location="'C risk'!A1" display="C risk"/>
    <hyperlink ref="E19" location="'C rates'!A1" display="C rates"/>
    <hyperlink ref="G17" location="'Str RR'!A1" display="Str RR"/>
    <hyperlink ref="G18" location="'Str OR'!A1" display="Str OR"/>
    <hyperlink ref="G19" location="'Str IRR'!A1" display="Str IRR"/>
    <hyperlink ref="I18" location="'MH OR'!A1" display="MH OR"/>
    <hyperlink ref="C23" location="Chisq!A1" display="Chisq"/>
    <hyperlink ref="G16" location="'Str any'!A1" display="Str any"/>
    <hyperlink ref="C25" location="Tables!A1" display="Tables"/>
    <hyperlink ref="C21" location="Weighted!A1" display="Weighted"/>
    <hyperlink ref="E31" r:id="rId1"/>
  </hyperlinks>
  <pageMargins left="0.75" right="0.75" top="1" bottom="1" header="0.5" footer="0.5"/>
  <pageSetup paperSize="9" orientation="portrait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M73"/>
  <sheetViews>
    <sheetView topLeftCell="A47" workbookViewId="0">
      <selection activeCell="G86" sqref="G86"/>
    </sheetView>
  </sheetViews>
  <sheetFormatPr defaultRowHeight="12.75" x14ac:dyDescent="0.2"/>
  <cols>
    <col min="1" max="9" width="8.7109375" customWidth="1"/>
    <col min="10" max="10" width="8.85546875" hidden="1" customWidth="1"/>
    <col min="11" max="12" width="0" hidden="1" customWidth="1"/>
  </cols>
  <sheetData>
    <row r="1" spans="1:12" ht="12" customHeight="1" x14ac:dyDescent="0.2">
      <c r="A1" s="7" t="s">
        <v>169</v>
      </c>
      <c r="C1" s="494" t="s">
        <v>157</v>
      </c>
      <c r="D1" s="494"/>
      <c r="E1" s="494"/>
      <c r="F1" s="494"/>
      <c r="I1" s="475" t="s">
        <v>186</v>
      </c>
      <c r="J1" s="24"/>
      <c r="K1" s="24"/>
      <c r="L1" s="24"/>
    </row>
    <row r="2" spans="1:12" ht="12" customHeight="1" x14ac:dyDescent="0.2">
      <c r="A2" s="7"/>
      <c r="C2" s="7"/>
      <c r="H2" s="46"/>
      <c r="I2" s="476"/>
      <c r="J2" s="24"/>
      <c r="K2" s="24"/>
      <c r="L2" s="24"/>
    </row>
    <row r="3" spans="1:12" ht="12" customHeight="1" x14ac:dyDescent="0.2">
      <c r="A3" s="497" t="s">
        <v>270</v>
      </c>
      <c r="B3" s="498"/>
      <c r="C3" s="498"/>
      <c r="D3" s="498"/>
      <c r="E3" s="498"/>
      <c r="F3" s="498"/>
      <c r="G3" s="499"/>
      <c r="H3" s="24"/>
      <c r="I3" s="24"/>
      <c r="J3" s="24"/>
      <c r="K3" s="24"/>
      <c r="L3" s="24"/>
    </row>
    <row r="4" spans="1:12" ht="12" customHeight="1" x14ac:dyDescent="0.2">
      <c r="A4" s="500" t="s">
        <v>269</v>
      </c>
      <c r="B4" s="501"/>
      <c r="C4" s="501"/>
      <c r="D4" s="501"/>
      <c r="E4" s="501"/>
      <c r="F4" s="501"/>
      <c r="G4" s="502"/>
      <c r="H4" s="24"/>
      <c r="I4" s="24"/>
      <c r="J4" s="24"/>
      <c r="K4" s="24"/>
      <c r="L4" s="24"/>
    </row>
    <row r="5" spans="1:12" ht="12" customHeight="1" x14ac:dyDescent="0.2">
      <c r="A5" s="7"/>
      <c r="C5" s="7"/>
      <c r="H5" s="24"/>
      <c r="I5" s="24"/>
      <c r="J5" s="24"/>
      <c r="K5" s="24"/>
      <c r="L5" s="24"/>
    </row>
    <row r="6" spans="1:12" ht="12" customHeight="1" x14ac:dyDescent="0.2">
      <c r="A6" s="171" t="s">
        <v>171</v>
      </c>
      <c r="B6" s="204"/>
      <c r="C6" s="204"/>
      <c r="D6" s="46"/>
      <c r="E6" s="180"/>
      <c r="F6" s="180"/>
      <c r="G6" s="180" t="str">
        <f>IF(E4="","",E4+1.96*F4)</f>
        <v/>
      </c>
      <c r="H6" s="24"/>
      <c r="I6" s="24"/>
      <c r="J6" s="24"/>
      <c r="K6" s="24"/>
      <c r="L6" s="24"/>
    </row>
    <row r="7" spans="1:12" ht="12" customHeight="1" x14ac:dyDescent="0.2">
      <c r="A7" s="356">
        <v>1</v>
      </c>
      <c r="B7" s="523" t="s">
        <v>273</v>
      </c>
      <c r="C7" s="524"/>
      <c r="D7" s="524"/>
      <c r="E7" s="524"/>
      <c r="F7" s="524"/>
      <c r="G7" s="525"/>
      <c r="H7" s="24"/>
      <c r="I7" s="24"/>
      <c r="J7" s="24"/>
      <c r="K7" s="24"/>
      <c r="L7" s="24"/>
    </row>
    <row r="8" spans="1:12" ht="12" customHeight="1" x14ac:dyDescent="0.2">
      <c r="A8" s="26" t="s">
        <v>125</v>
      </c>
      <c r="B8" s="26" t="s">
        <v>1</v>
      </c>
      <c r="C8" s="28" t="s">
        <v>120</v>
      </c>
      <c r="D8" s="27" t="s">
        <v>54</v>
      </c>
      <c r="E8" s="173" t="s">
        <v>3</v>
      </c>
      <c r="F8" s="171" t="s">
        <v>4</v>
      </c>
      <c r="G8" s="174" t="s">
        <v>18</v>
      </c>
      <c r="H8" s="175" t="s">
        <v>8</v>
      </c>
      <c r="I8" s="175" t="s">
        <v>9</v>
      </c>
      <c r="J8" s="24"/>
      <c r="K8" s="175" t="s">
        <v>65</v>
      </c>
      <c r="L8" s="175" t="s">
        <v>62</v>
      </c>
    </row>
    <row r="9" spans="1:12" ht="12" customHeight="1" x14ac:dyDescent="0.2">
      <c r="A9" s="30" t="s">
        <v>0</v>
      </c>
      <c r="B9" s="153">
        <v>3</v>
      </c>
      <c r="C9" s="154">
        <v>104</v>
      </c>
      <c r="D9" s="50">
        <f>SUM(B9:C9)</f>
        <v>107</v>
      </c>
      <c r="E9" s="122">
        <f>IF(D11&gt;0,B9*C10/C9/B10,"")</f>
        <v>3.3942307692307692</v>
      </c>
      <c r="F9" s="155"/>
      <c r="G9" s="157">
        <f>IF(G11="","",EXP(G11))</f>
        <v>0.90481832300532072</v>
      </c>
      <c r="H9" s="46"/>
      <c r="I9" s="46"/>
      <c r="J9" s="24"/>
      <c r="K9" s="24"/>
      <c r="L9" s="24"/>
    </row>
    <row r="10" spans="1:12" ht="12" customHeight="1" x14ac:dyDescent="0.2">
      <c r="A10" s="30">
        <v>0</v>
      </c>
      <c r="B10" s="160">
        <v>9</v>
      </c>
      <c r="C10" s="161">
        <v>1059</v>
      </c>
      <c r="D10" s="50">
        <f>SUM(B10:C10)</f>
        <v>1068</v>
      </c>
      <c r="E10" s="123"/>
      <c r="F10" s="176"/>
      <c r="G10" s="178">
        <f>IF(G12="","",EXP(G12))</f>
        <v>12.732724594399212</v>
      </c>
      <c r="H10" s="46"/>
      <c r="I10" s="46"/>
      <c r="J10" s="24"/>
      <c r="K10" s="24"/>
      <c r="L10" s="24"/>
    </row>
    <row r="11" spans="1:12" ht="12" customHeight="1" x14ac:dyDescent="0.2">
      <c r="A11" s="26" t="s">
        <v>54</v>
      </c>
      <c r="B11" s="26">
        <f>SUM(B9:B10)</f>
        <v>12</v>
      </c>
      <c r="C11" s="28">
        <f>SUM(C9:C10)</f>
        <v>1163</v>
      </c>
      <c r="D11" s="27">
        <f>SUM(B11:C11)</f>
        <v>1175</v>
      </c>
      <c r="E11" s="180">
        <f>IF(E9="","",LN(E9))</f>
        <v>1.2220771577919241</v>
      </c>
      <c r="F11" s="180">
        <f>IF(D11=0,"",SQRT(1/B9+1/B10+1/C9+1/C10))</f>
        <v>0.67453992922813422</v>
      </c>
      <c r="G11" s="180">
        <f>IF(E11="","",E11-1.96*F11)</f>
        <v>-0.10002110349521898</v>
      </c>
      <c r="H11" s="180">
        <f>IF(F11="","",1/(F11^2))</f>
        <v>2.1977823157306582</v>
      </c>
      <c r="I11" s="180">
        <f>IF(E11="","",E11*H11)</f>
        <v>2.6858595658534758</v>
      </c>
      <c r="J11" s="24"/>
      <c r="K11" s="353">
        <f>((E11-$E$47)/F11)^2</f>
        <v>3.1260609989017182E-2</v>
      </c>
      <c r="L11" s="109">
        <f>IF(D11&gt;0,1,0)</f>
        <v>1</v>
      </c>
    </row>
    <row r="12" spans="1:12" ht="12" customHeight="1" x14ac:dyDescent="0.2">
      <c r="A12" s="175"/>
      <c r="B12" s="204"/>
      <c r="C12" s="204"/>
      <c r="D12" s="46"/>
      <c r="E12" s="180"/>
      <c r="F12" s="180"/>
      <c r="G12" s="180">
        <f>IF(E11="","",E11+1.96*F11)</f>
        <v>2.5441754190790671</v>
      </c>
      <c r="H12" s="180"/>
      <c r="I12" s="180"/>
      <c r="J12" s="24"/>
      <c r="K12" s="24"/>
      <c r="L12" s="24"/>
    </row>
    <row r="13" spans="1:12" ht="12" customHeight="1" x14ac:dyDescent="0.2">
      <c r="A13" s="356">
        <v>2</v>
      </c>
      <c r="B13" s="523" t="s">
        <v>134</v>
      </c>
      <c r="C13" s="524"/>
      <c r="D13" s="524"/>
      <c r="E13" s="524"/>
      <c r="F13" s="524"/>
      <c r="G13" s="525"/>
      <c r="H13" s="46"/>
      <c r="I13" s="46"/>
      <c r="J13" s="24"/>
      <c r="K13" s="24"/>
      <c r="L13" s="24"/>
    </row>
    <row r="14" spans="1:12" ht="12" customHeight="1" x14ac:dyDescent="0.2">
      <c r="A14" s="26" t="s">
        <v>125</v>
      </c>
      <c r="B14" s="26" t="s">
        <v>1</v>
      </c>
      <c r="C14" s="28" t="s">
        <v>120</v>
      </c>
      <c r="D14" s="27" t="s">
        <v>54</v>
      </c>
      <c r="E14" s="173" t="s">
        <v>3</v>
      </c>
      <c r="F14" s="171" t="s">
        <v>4</v>
      </c>
      <c r="G14" s="174" t="s">
        <v>18</v>
      </c>
      <c r="H14" s="175"/>
      <c r="I14" s="175"/>
      <c r="J14" s="24"/>
      <c r="K14" s="24"/>
      <c r="L14" s="24"/>
    </row>
    <row r="15" spans="1:12" ht="12" customHeight="1" x14ac:dyDescent="0.2">
      <c r="A15" s="344" t="s">
        <v>0</v>
      </c>
      <c r="B15" s="153">
        <v>1</v>
      </c>
      <c r="C15" s="154">
        <v>5</v>
      </c>
      <c r="D15" s="346">
        <f>SUM(B15:C15)</f>
        <v>6</v>
      </c>
      <c r="E15" s="122">
        <f>IF(D17&gt;0,B15*C16/C15/B16,"")</f>
        <v>5.7333333333333334</v>
      </c>
      <c r="F15" s="155"/>
      <c r="G15" s="157">
        <f>IF(G17="","",EXP(G17))</f>
        <v>0.50161935052829609</v>
      </c>
      <c r="H15" s="46"/>
      <c r="I15" s="46"/>
      <c r="J15" s="24"/>
      <c r="K15" s="24"/>
      <c r="L15" s="24"/>
    </row>
    <row r="16" spans="1:12" ht="12" customHeight="1" x14ac:dyDescent="0.2">
      <c r="A16" s="345">
        <v>0</v>
      </c>
      <c r="B16" s="160">
        <v>3</v>
      </c>
      <c r="C16" s="161">
        <v>86</v>
      </c>
      <c r="D16" s="271">
        <f>SUM(B16:C16)</f>
        <v>89</v>
      </c>
      <c r="E16" s="123"/>
      <c r="F16" s="176"/>
      <c r="G16" s="178">
        <f>IF(G18="","",EXP(G18))</f>
        <v>65.529990173807846</v>
      </c>
      <c r="H16" s="46"/>
      <c r="I16" s="46"/>
      <c r="J16" s="24"/>
      <c r="K16" s="24"/>
      <c r="L16" s="24"/>
    </row>
    <row r="17" spans="1:12" ht="12" customHeight="1" x14ac:dyDescent="0.2">
      <c r="A17" s="26" t="s">
        <v>54</v>
      </c>
      <c r="B17" s="26">
        <f>SUM(B15:B16)</f>
        <v>4</v>
      </c>
      <c r="C17" s="28">
        <f>SUM(C15:C16)</f>
        <v>91</v>
      </c>
      <c r="D17" s="27">
        <f>SUM(B17:C17)</f>
        <v>95</v>
      </c>
      <c r="E17" s="180">
        <f>IF(E15="","",LN(E15))</f>
        <v>1.7462970951512977</v>
      </c>
      <c r="F17" s="180">
        <f>IF(D17=0,"",SQRT(1/B15+1/B16+1/C15+1/C16))</f>
        <v>1.2429646979339668</v>
      </c>
      <c r="G17" s="180">
        <f>IF(E17="","",E17-1.96*F17)</f>
        <v>-0.68991371279927716</v>
      </c>
      <c r="H17" s="180">
        <f>IF(F17="","",1/(F17^2))</f>
        <v>0.6472654290015053</v>
      </c>
      <c r="I17" s="180">
        <f>IF(E17="","",E17*H17)</f>
        <v>1.1303177384571872</v>
      </c>
      <c r="J17" s="24"/>
      <c r="K17" s="353">
        <f>((E17-$E$47)/F17)^2</f>
        <v>0.10614504148445023</v>
      </c>
      <c r="L17" s="109">
        <f>IF(D17&gt;0,1,0)</f>
        <v>1</v>
      </c>
    </row>
    <row r="18" spans="1:12" ht="12" customHeight="1" x14ac:dyDescent="0.2">
      <c r="A18" s="175"/>
      <c r="B18" s="204"/>
      <c r="C18" s="204"/>
      <c r="D18" s="46"/>
      <c r="E18" s="180"/>
      <c r="F18" s="180"/>
      <c r="G18" s="180">
        <f>IF(E17="","",E17+1.96*F17)</f>
        <v>4.1825079031018726</v>
      </c>
      <c r="H18" s="180"/>
      <c r="I18" s="180"/>
      <c r="J18" s="24"/>
      <c r="K18" s="24"/>
      <c r="L18" s="24"/>
    </row>
    <row r="19" spans="1:12" ht="12" customHeight="1" x14ac:dyDescent="0.2">
      <c r="A19" s="356">
        <v>3</v>
      </c>
      <c r="B19" s="523"/>
      <c r="C19" s="524"/>
      <c r="D19" s="524"/>
      <c r="E19" s="524"/>
      <c r="F19" s="524"/>
      <c r="G19" s="525"/>
      <c r="H19" s="46"/>
      <c r="I19" s="46"/>
      <c r="J19" s="24"/>
      <c r="K19" s="24"/>
      <c r="L19" s="24"/>
    </row>
    <row r="20" spans="1:12" ht="12" customHeight="1" x14ac:dyDescent="0.2">
      <c r="A20" s="26" t="s">
        <v>125</v>
      </c>
      <c r="B20" s="26" t="s">
        <v>1</v>
      </c>
      <c r="C20" s="28" t="s">
        <v>120</v>
      </c>
      <c r="D20" s="27" t="s">
        <v>54</v>
      </c>
      <c r="E20" s="173" t="s">
        <v>3</v>
      </c>
      <c r="F20" s="171" t="s">
        <v>4</v>
      </c>
      <c r="G20" s="174" t="s">
        <v>18</v>
      </c>
      <c r="H20" s="175"/>
      <c r="I20" s="175"/>
      <c r="J20" s="24"/>
      <c r="K20" s="24"/>
      <c r="L20" s="24"/>
    </row>
    <row r="21" spans="1:12" ht="12" customHeight="1" x14ac:dyDescent="0.2">
      <c r="A21" s="344" t="s">
        <v>0</v>
      </c>
      <c r="B21" s="153"/>
      <c r="C21" s="154"/>
      <c r="D21" s="346">
        <f>SUM(B21:C21)</f>
        <v>0</v>
      </c>
      <c r="E21" s="122" t="str">
        <f>IF(D23&gt;0,B21*C22/C21/B22,"")</f>
        <v/>
      </c>
      <c r="F21" s="155"/>
      <c r="G21" s="157" t="str">
        <f>IF(G23="","",EXP(G23))</f>
        <v/>
      </c>
      <c r="H21" s="46"/>
      <c r="I21" s="46"/>
      <c r="J21" s="24"/>
      <c r="K21" s="24"/>
      <c r="L21" s="24"/>
    </row>
    <row r="22" spans="1:12" ht="12" customHeight="1" x14ac:dyDescent="0.2">
      <c r="A22" s="345">
        <v>0</v>
      </c>
      <c r="B22" s="160"/>
      <c r="C22" s="161"/>
      <c r="D22" s="271">
        <f>SUM(B22:C22)</f>
        <v>0</v>
      </c>
      <c r="E22" s="123"/>
      <c r="F22" s="176"/>
      <c r="G22" s="178" t="str">
        <f>IF(G24="","",EXP(G24))</f>
        <v/>
      </c>
      <c r="H22" s="46"/>
      <c r="I22" s="46"/>
      <c r="J22" s="24"/>
      <c r="K22" s="24"/>
      <c r="L22" s="24"/>
    </row>
    <row r="23" spans="1:12" ht="12" customHeight="1" x14ac:dyDescent="0.2">
      <c r="A23" s="26" t="s">
        <v>54</v>
      </c>
      <c r="B23" s="26">
        <f>SUM(B21:B22)</f>
        <v>0</v>
      </c>
      <c r="C23" s="28">
        <f>SUM(C21:C22)</f>
        <v>0</v>
      </c>
      <c r="D23" s="27">
        <f>SUM(B23:C23)</f>
        <v>0</v>
      </c>
      <c r="E23" s="180" t="str">
        <f>IF(E21="","",LN(E21))</f>
        <v/>
      </c>
      <c r="F23" s="180" t="str">
        <f>IF(D23=0,"",SQRT(1/B21+1/B22+1/C21+1/C22))</f>
        <v/>
      </c>
      <c r="G23" s="180" t="str">
        <f>IF(E23="","",E23-1.96*F23)</f>
        <v/>
      </c>
      <c r="H23" s="180" t="str">
        <f>IF(F23="","",1/(F23^2))</f>
        <v/>
      </c>
      <c r="I23" s="180" t="str">
        <f>IF(E23="","",E23*H23)</f>
        <v/>
      </c>
      <c r="J23" s="24"/>
      <c r="K23" s="353" t="e">
        <f>((E23-$E$47)/F23)^2</f>
        <v>#VALUE!</v>
      </c>
      <c r="L23" s="109">
        <f>IF(D23&gt;0,1,0)</f>
        <v>0</v>
      </c>
    </row>
    <row r="24" spans="1:12" ht="12" customHeight="1" x14ac:dyDescent="0.2">
      <c r="A24" s="175"/>
      <c r="B24" s="204"/>
      <c r="C24" s="204"/>
      <c r="D24" s="46"/>
      <c r="E24" s="355"/>
      <c r="F24" s="180"/>
      <c r="G24" s="180" t="str">
        <f>IF(E23="","",E23+1.96*F23)</f>
        <v/>
      </c>
      <c r="H24" s="180"/>
      <c r="I24" s="180"/>
      <c r="J24" s="24"/>
      <c r="K24" s="24"/>
      <c r="L24" s="24"/>
    </row>
    <row r="25" spans="1:12" ht="12" customHeight="1" x14ac:dyDescent="0.2">
      <c r="A25" s="356">
        <v>4</v>
      </c>
      <c r="B25" s="523"/>
      <c r="C25" s="524"/>
      <c r="D25" s="524"/>
      <c r="E25" s="524"/>
      <c r="F25" s="524"/>
      <c r="G25" s="525"/>
      <c r="H25" s="46"/>
      <c r="I25" s="46"/>
      <c r="J25" s="24"/>
      <c r="K25" s="24"/>
      <c r="L25" s="24"/>
    </row>
    <row r="26" spans="1:12" ht="12" customHeight="1" x14ac:dyDescent="0.2">
      <c r="A26" s="26" t="s">
        <v>125</v>
      </c>
      <c r="B26" s="26" t="s">
        <v>1</v>
      </c>
      <c r="C26" s="28" t="s">
        <v>120</v>
      </c>
      <c r="D26" s="27" t="s">
        <v>54</v>
      </c>
      <c r="E26" s="173" t="s">
        <v>3</v>
      </c>
      <c r="F26" s="171" t="s">
        <v>4</v>
      </c>
      <c r="G26" s="174" t="s">
        <v>18</v>
      </c>
      <c r="H26" s="175"/>
      <c r="I26" s="175"/>
      <c r="J26" s="24"/>
      <c r="K26" s="24"/>
      <c r="L26" s="24"/>
    </row>
    <row r="27" spans="1:12" ht="12" customHeight="1" x14ac:dyDescent="0.2">
      <c r="A27" s="344" t="s">
        <v>0</v>
      </c>
      <c r="B27" s="153"/>
      <c r="C27" s="154"/>
      <c r="D27" s="346">
        <f>SUM(B27:C27)</f>
        <v>0</v>
      </c>
      <c r="E27" s="122" t="str">
        <f>IF(D29&gt;0,B27*C28/C27/B28,"")</f>
        <v/>
      </c>
      <c r="F27" s="155"/>
      <c r="G27" s="157" t="str">
        <f>IF(G29="","",EXP(G29))</f>
        <v/>
      </c>
      <c r="H27" s="46"/>
      <c r="I27" s="46"/>
      <c r="J27" s="24"/>
      <c r="K27" s="24"/>
      <c r="L27" s="24"/>
    </row>
    <row r="28" spans="1:12" ht="12" customHeight="1" x14ac:dyDescent="0.2">
      <c r="A28" s="345">
        <v>0</v>
      </c>
      <c r="B28" s="160"/>
      <c r="C28" s="161"/>
      <c r="D28" s="271">
        <f>SUM(B28:C28)</f>
        <v>0</v>
      </c>
      <c r="E28" s="123"/>
      <c r="F28" s="176"/>
      <c r="G28" s="178" t="str">
        <f>IF(G30="","",EXP(G30))</f>
        <v/>
      </c>
      <c r="H28" s="46"/>
      <c r="I28" s="46"/>
      <c r="J28" s="24"/>
      <c r="K28" s="24"/>
      <c r="L28" s="24"/>
    </row>
    <row r="29" spans="1:12" ht="12" customHeight="1" x14ac:dyDescent="0.2">
      <c r="A29" s="26" t="s">
        <v>54</v>
      </c>
      <c r="B29" s="26">
        <f>SUM(B27:B28)</f>
        <v>0</v>
      </c>
      <c r="C29" s="28">
        <f>SUM(C27:C28)</f>
        <v>0</v>
      </c>
      <c r="D29" s="27">
        <f>SUM(B29:C29)</f>
        <v>0</v>
      </c>
      <c r="E29" s="180" t="str">
        <f>IF(E27="","",LN(E27))</f>
        <v/>
      </c>
      <c r="F29" s="180" t="str">
        <f>IF(D29=0,"",SQRT(1/B27+1/B28+1/C27+1/C28))</f>
        <v/>
      </c>
      <c r="G29" s="180" t="str">
        <f>IF(E29="","",E29-1.96*F29)</f>
        <v/>
      </c>
      <c r="H29" s="180" t="str">
        <f>IF(F29="","",1/(F29^2))</f>
        <v/>
      </c>
      <c r="I29" s="180" t="str">
        <f>IF(E29="","",E29*H29)</f>
        <v/>
      </c>
      <c r="J29" s="24"/>
      <c r="K29" s="353" t="e">
        <f>((E29-$E$47)/F29)^2</f>
        <v>#VALUE!</v>
      </c>
      <c r="L29" s="109">
        <f>IF(D29&gt;0,1,0)</f>
        <v>0</v>
      </c>
    </row>
    <row r="30" spans="1:12" ht="12" customHeight="1" x14ac:dyDescent="0.2">
      <c r="A30" s="175"/>
      <c r="B30" s="204"/>
      <c r="C30" s="204"/>
      <c r="D30" s="46"/>
      <c r="E30" s="180"/>
      <c r="F30" s="180"/>
      <c r="G30" s="180" t="str">
        <f>IF(E29="","",E29+1.96*F29)</f>
        <v/>
      </c>
      <c r="H30" s="180"/>
      <c r="I30" s="180"/>
      <c r="J30" s="24"/>
      <c r="K30" s="24"/>
      <c r="L30" s="24"/>
    </row>
    <row r="31" spans="1:12" ht="12" customHeight="1" x14ac:dyDescent="0.2">
      <c r="A31" s="356">
        <v>5</v>
      </c>
      <c r="B31" s="523"/>
      <c r="C31" s="524"/>
      <c r="D31" s="524"/>
      <c r="E31" s="524"/>
      <c r="F31" s="524"/>
      <c r="G31" s="525"/>
      <c r="H31" s="46"/>
      <c r="I31" s="46"/>
      <c r="J31" s="24"/>
      <c r="K31" s="24"/>
      <c r="L31" s="24"/>
    </row>
    <row r="32" spans="1:12" ht="12" customHeight="1" x14ac:dyDescent="0.2">
      <c r="A32" s="26" t="s">
        <v>125</v>
      </c>
      <c r="B32" s="26" t="s">
        <v>1</v>
      </c>
      <c r="C32" s="28" t="s">
        <v>120</v>
      </c>
      <c r="D32" s="27" t="s">
        <v>54</v>
      </c>
      <c r="E32" s="173" t="s">
        <v>3</v>
      </c>
      <c r="F32" s="171" t="s">
        <v>4</v>
      </c>
      <c r="G32" s="174" t="s">
        <v>18</v>
      </c>
      <c r="H32" s="175"/>
      <c r="I32" s="175"/>
      <c r="J32" s="24"/>
      <c r="K32" s="24"/>
      <c r="L32" s="24"/>
    </row>
    <row r="33" spans="1:13" ht="12" customHeight="1" x14ac:dyDescent="0.2">
      <c r="A33" s="344" t="s">
        <v>0</v>
      </c>
      <c r="B33" s="153"/>
      <c r="C33" s="154"/>
      <c r="D33" s="346">
        <f>SUM(B33:C33)</f>
        <v>0</v>
      </c>
      <c r="E33" s="122" t="str">
        <f>IF(D35&gt;0,B33*C34/C33/B34,"")</f>
        <v/>
      </c>
      <c r="F33" s="155"/>
      <c r="G33" s="157" t="str">
        <f>IF(G35="","",EXP(G35))</f>
        <v/>
      </c>
      <c r="H33" s="46"/>
      <c r="I33" s="46"/>
      <c r="J33" s="24"/>
      <c r="K33" s="24"/>
      <c r="L33" s="24"/>
    </row>
    <row r="34" spans="1:13" ht="12" customHeight="1" x14ac:dyDescent="0.2">
      <c r="A34" s="345">
        <v>0</v>
      </c>
      <c r="B34" s="160"/>
      <c r="C34" s="161"/>
      <c r="D34" s="271">
        <f>SUM(B34:C34)</f>
        <v>0</v>
      </c>
      <c r="E34" s="123"/>
      <c r="F34" s="176"/>
      <c r="G34" s="178" t="str">
        <f>IF(G36="","",EXP(G36))</f>
        <v/>
      </c>
      <c r="H34" s="46"/>
      <c r="I34" s="46"/>
      <c r="J34" s="24"/>
      <c r="K34" s="24"/>
      <c r="L34" s="24"/>
    </row>
    <row r="35" spans="1:13" ht="12" customHeight="1" x14ac:dyDescent="0.2">
      <c r="A35" s="26" t="s">
        <v>54</v>
      </c>
      <c r="B35" s="26">
        <f>SUM(B33:B34)</f>
        <v>0</v>
      </c>
      <c r="C35" s="28">
        <f>SUM(C33:C34)</f>
        <v>0</v>
      </c>
      <c r="D35" s="27">
        <f>SUM(B35:C35)</f>
        <v>0</v>
      </c>
      <c r="E35" s="180" t="str">
        <f>IF(E33="","",LN(E33))</f>
        <v/>
      </c>
      <c r="F35" s="180" t="str">
        <f>IF(D35=0,"",SQRT(1/B33+1/B34+1/C33+1/C34))</f>
        <v/>
      </c>
      <c r="G35" s="180" t="str">
        <f>IF(E35="","",E35-1.96*F35)</f>
        <v/>
      </c>
      <c r="H35" s="180" t="str">
        <f>IF(F35="","",1/(F35^2))</f>
        <v/>
      </c>
      <c r="I35" s="180" t="str">
        <f>IF(E35="","",E35*H35)</f>
        <v/>
      </c>
      <c r="J35" s="24"/>
      <c r="K35" s="353" t="e">
        <f>((E35-$E$47)/F35)^2</f>
        <v>#VALUE!</v>
      </c>
      <c r="L35" s="109">
        <f>IF(D35&gt;0,1,0)</f>
        <v>0</v>
      </c>
    </row>
    <row r="36" spans="1:13" ht="12" customHeight="1" x14ac:dyDescent="0.2">
      <c r="A36" s="175"/>
      <c r="B36" s="204"/>
      <c r="C36" s="204"/>
      <c r="D36" s="46"/>
      <c r="E36" s="180"/>
      <c r="F36" s="180"/>
      <c r="G36" s="180" t="str">
        <f>IF(E35="","",E35+1.96*F35)</f>
        <v/>
      </c>
      <c r="H36" s="180"/>
      <c r="I36" s="180"/>
      <c r="J36" s="24"/>
      <c r="K36" s="24"/>
      <c r="L36" s="24"/>
    </row>
    <row r="37" spans="1:13" ht="12" customHeight="1" x14ac:dyDescent="0.2">
      <c r="A37" s="356">
        <v>6</v>
      </c>
      <c r="B37" s="523"/>
      <c r="C37" s="524"/>
      <c r="D37" s="524"/>
      <c r="E37" s="524"/>
      <c r="F37" s="524"/>
      <c r="G37" s="525"/>
      <c r="H37" s="46"/>
      <c r="I37" s="46"/>
      <c r="J37" s="24"/>
      <c r="K37" s="24"/>
      <c r="L37" s="24"/>
    </row>
    <row r="38" spans="1:13" ht="12" customHeight="1" x14ac:dyDescent="0.2">
      <c r="A38" s="26" t="s">
        <v>125</v>
      </c>
      <c r="B38" s="26" t="s">
        <v>1</v>
      </c>
      <c r="C38" s="28" t="s">
        <v>120</v>
      </c>
      <c r="D38" s="27" t="s">
        <v>54</v>
      </c>
      <c r="E38" s="173" t="s">
        <v>3</v>
      </c>
      <c r="F38" s="171" t="s">
        <v>4</v>
      </c>
      <c r="G38" s="174" t="s">
        <v>18</v>
      </c>
      <c r="H38" s="175"/>
      <c r="I38" s="175"/>
      <c r="J38" s="24"/>
      <c r="K38" s="24"/>
      <c r="L38" s="24"/>
    </row>
    <row r="39" spans="1:13" ht="12" customHeight="1" x14ac:dyDescent="0.2">
      <c r="A39" s="344" t="s">
        <v>0</v>
      </c>
      <c r="B39" s="153"/>
      <c r="C39" s="154"/>
      <c r="D39" s="346">
        <f>SUM(B39:C39)</f>
        <v>0</v>
      </c>
      <c r="E39" s="122" t="str">
        <f>IF(D41&gt;0,B39*C40/C39/B40,"")</f>
        <v/>
      </c>
      <c r="F39" s="155"/>
      <c r="G39" s="157" t="str">
        <f>IF(G41="","",EXP(G41))</f>
        <v/>
      </c>
      <c r="H39" s="46"/>
      <c r="I39" s="46"/>
      <c r="J39" s="24"/>
      <c r="K39" s="24"/>
      <c r="L39" s="24"/>
    </row>
    <row r="40" spans="1:13" ht="12" customHeight="1" x14ac:dyDescent="0.2">
      <c r="A40" s="345">
        <v>0</v>
      </c>
      <c r="B40" s="160"/>
      <c r="C40" s="161"/>
      <c r="D40" s="271">
        <f>SUM(B40:C40)</f>
        <v>0</v>
      </c>
      <c r="E40" s="123"/>
      <c r="F40" s="176"/>
      <c r="G40" s="178" t="str">
        <f>IF(G42="","",EXP(G42))</f>
        <v/>
      </c>
      <c r="H40" s="46"/>
      <c r="I40" s="46"/>
      <c r="J40" s="24"/>
      <c r="K40" s="24"/>
      <c r="L40" s="24"/>
    </row>
    <row r="41" spans="1:13" ht="12" customHeight="1" x14ac:dyDescent="0.2">
      <c r="A41" s="26" t="s">
        <v>54</v>
      </c>
      <c r="B41" s="26">
        <f>SUM(B39:B40)</f>
        <v>0</v>
      </c>
      <c r="C41" s="28">
        <f>SUM(C39:C40)</f>
        <v>0</v>
      </c>
      <c r="D41" s="27">
        <f>SUM(B41:C41)</f>
        <v>0</v>
      </c>
      <c r="E41" s="180" t="str">
        <f>IF(E39="","",LN(E39))</f>
        <v/>
      </c>
      <c r="F41" s="180" t="str">
        <f>IF(D41=0,"",SQRT(1/B39+1/B40+1/C39+1/C40))</f>
        <v/>
      </c>
      <c r="G41" s="180" t="str">
        <f>IF(E41="","",E41-1.96*F41)</f>
        <v/>
      </c>
      <c r="H41" s="180" t="str">
        <f>IF(F41="","",1/(F41^2))</f>
        <v/>
      </c>
      <c r="I41" s="180" t="str">
        <f>IF(E41="","",E41*H41)</f>
        <v/>
      </c>
      <c r="J41" s="24"/>
      <c r="K41" s="353" t="e">
        <f>((E41-$E$47)/F41)^2</f>
        <v>#VALUE!</v>
      </c>
      <c r="L41" s="109">
        <f>IF(D41&gt;0,1,0)</f>
        <v>0</v>
      </c>
    </row>
    <row r="42" spans="1:13" ht="12" customHeight="1" x14ac:dyDescent="0.2">
      <c r="A42" s="203"/>
      <c r="B42" s="204"/>
      <c r="C42" s="204"/>
      <c r="D42" s="46"/>
      <c r="E42" s="180"/>
      <c r="F42" s="180"/>
      <c r="G42" s="180" t="str">
        <f>IF(E41="","",E41+1.96*F41)</f>
        <v/>
      </c>
      <c r="H42" s="180"/>
      <c r="I42" s="180"/>
      <c r="J42" s="24"/>
      <c r="K42" s="24"/>
      <c r="L42" s="24"/>
    </row>
    <row r="43" spans="1:13" ht="12" customHeight="1" x14ac:dyDescent="0.2">
      <c r="A43" s="205" t="s">
        <v>185</v>
      </c>
      <c r="D43" s="46"/>
      <c r="E43" s="527"/>
      <c r="F43" s="527"/>
      <c r="G43" s="527"/>
      <c r="H43" s="529"/>
      <c r="I43" s="529"/>
      <c r="J43" s="24"/>
      <c r="K43" s="24"/>
      <c r="L43" s="24"/>
    </row>
    <row r="44" spans="1:13" ht="12" customHeight="1" x14ac:dyDescent="0.2">
      <c r="D44" s="206"/>
      <c r="E44" s="224" t="s">
        <v>3</v>
      </c>
      <c r="F44" s="174" t="s">
        <v>4</v>
      </c>
      <c r="G44" s="224" t="s">
        <v>18</v>
      </c>
      <c r="J44" s="24"/>
      <c r="K44" s="24"/>
      <c r="L44" s="24"/>
    </row>
    <row r="45" spans="1:13" ht="12" customHeight="1" x14ac:dyDescent="0.2">
      <c r="D45" s="49"/>
      <c r="E45" s="209">
        <f>EXP(E47)</f>
        <v>3.8241657475295305</v>
      </c>
      <c r="F45" s="157"/>
      <c r="G45" s="209">
        <f>EXP(G47)</f>
        <v>1.1964113348816052</v>
      </c>
      <c r="H45" s="239"/>
      <c r="J45" s="24">
        <f>SUMIF(I11:I41,"&gt;0")</f>
        <v>3.816177304310663</v>
      </c>
      <c r="K45" s="24"/>
      <c r="L45" s="24"/>
    </row>
    <row r="46" spans="1:13" ht="12" customHeight="1" x14ac:dyDescent="0.2">
      <c r="A46" s="94"/>
      <c r="C46" s="40"/>
      <c r="D46" s="49"/>
      <c r="E46" s="176"/>
      <c r="F46" s="178"/>
      <c r="G46" s="352">
        <f>EXP(G48)</f>
        <v>12.223424534861399</v>
      </c>
      <c r="H46" s="94"/>
      <c r="J46" s="24">
        <f>SUMIF(I11:I41,"&lt;0")</f>
        <v>0</v>
      </c>
      <c r="K46" s="24"/>
      <c r="L46" s="24"/>
    </row>
    <row r="47" spans="1:13" ht="12" customHeight="1" x14ac:dyDescent="0.2">
      <c r="A47" s="24"/>
      <c r="B47" s="24"/>
      <c r="C47" s="24"/>
      <c r="D47" s="46"/>
      <c r="E47" s="180">
        <f>I47/H47</f>
        <v>1.3413403382690587</v>
      </c>
      <c r="F47" s="180">
        <f>SQRT(1/H47)</f>
        <v>0.5928641920322143</v>
      </c>
      <c r="G47" s="180">
        <f>E47-1.96*F47</f>
        <v>0.1793265218859188</v>
      </c>
      <c r="H47" s="180">
        <f>SUMIF(H11:H42,"&gt;0")</f>
        <v>2.8450477447321636</v>
      </c>
      <c r="I47" s="180">
        <f>SUM(J45:J46)</f>
        <v>3.816177304310663</v>
      </c>
      <c r="J47" s="24"/>
      <c r="K47" s="180">
        <f>SUMIF(K11:K42,"&gt;0")</f>
        <v>0.13740565147346739</v>
      </c>
      <c r="L47" s="109">
        <f>SUMIF(L11:L42,"&gt;0")</f>
        <v>2</v>
      </c>
      <c r="M47" s="24"/>
    </row>
    <row r="48" spans="1:13" ht="12" customHeight="1" x14ac:dyDescent="0.2">
      <c r="A48" s="24"/>
      <c r="B48" s="24"/>
      <c r="C48" s="24"/>
      <c r="D48" s="46"/>
      <c r="E48" s="180"/>
      <c r="F48" s="180"/>
      <c r="G48" s="180">
        <f>E47+1.96*F47</f>
        <v>2.5033541546521985</v>
      </c>
      <c r="H48" s="180"/>
      <c r="I48" s="180"/>
      <c r="J48" s="24"/>
      <c r="K48" s="180"/>
      <c r="L48" s="109"/>
      <c r="M48" s="24"/>
    </row>
    <row r="49" spans="1:13" ht="12" customHeight="1" x14ac:dyDescent="0.2">
      <c r="A49" s="522" t="s">
        <v>223</v>
      </c>
      <c r="B49" s="522"/>
      <c r="C49" s="351">
        <v>1</v>
      </c>
      <c r="D49" s="44" t="s">
        <v>22</v>
      </c>
      <c r="E49" s="184">
        <f>(E47-LN(C49))/F47</f>
        <v>2.262474874171815</v>
      </c>
      <c r="F49" s="44" t="s">
        <v>119</v>
      </c>
      <c r="G49" s="135">
        <f>2*(1-NORMSDIST(ABS(E49)))</f>
        <v>2.3668079498076144E-2</v>
      </c>
      <c r="H49" s="180"/>
      <c r="I49" s="180"/>
      <c r="J49" s="24"/>
      <c r="K49" s="180"/>
      <c r="L49" s="109"/>
      <c r="M49" s="24"/>
    </row>
    <row r="50" spans="1:13" ht="12" customHeight="1" x14ac:dyDescent="0.2">
      <c r="A50" s="24"/>
      <c r="B50" s="24"/>
      <c r="C50" s="24"/>
      <c r="D50" s="46"/>
      <c r="E50" s="180"/>
      <c r="F50" s="180"/>
      <c r="G50" s="180"/>
      <c r="H50" s="180"/>
      <c r="I50" s="180"/>
      <c r="J50" s="24"/>
      <c r="K50" s="180"/>
      <c r="L50" s="109"/>
      <c r="M50" s="24"/>
    </row>
    <row r="51" spans="1:13" ht="12" customHeight="1" x14ac:dyDescent="0.2">
      <c r="A51" s="24"/>
      <c r="B51" s="24"/>
      <c r="C51" s="24"/>
      <c r="D51" s="46"/>
      <c r="E51" s="180"/>
      <c r="F51" s="180"/>
      <c r="G51" s="180"/>
      <c r="H51" s="180"/>
      <c r="I51" s="180"/>
      <c r="J51" s="24"/>
      <c r="K51" s="180"/>
      <c r="L51" s="109"/>
      <c r="M51" s="24"/>
    </row>
    <row r="52" spans="1:13" ht="12" customHeight="1" x14ac:dyDescent="0.2">
      <c r="A52" s="510" t="s">
        <v>224</v>
      </c>
      <c r="B52" s="510"/>
      <c r="C52" s="510"/>
      <c r="D52" s="510"/>
      <c r="E52" s="180"/>
      <c r="F52" s="180"/>
      <c r="G52" s="180"/>
      <c r="H52" s="180"/>
      <c r="I52" s="180"/>
      <c r="J52" s="24"/>
      <c r="K52" s="24"/>
      <c r="L52" s="24"/>
      <c r="M52" s="24"/>
    </row>
    <row r="53" spans="1:13" ht="12" customHeight="1" x14ac:dyDescent="0.2">
      <c r="A53" s="59" t="s">
        <v>171</v>
      </c>
      <c r="B53" s="60" t="s">
        <v>3</v>
      </c>
      <c r="C53" s="505" t="s">
        <v>18</v>
      </c>
      <c r="D53" s="506"/>
      <c r="E53" s="359" t="s">
        <v>188</v>
      </c>
      <c r="F53" s="180"/>
      <c r="G53" s="180"/>
      <c r="H53" s="180"/>
      <c r="I53" s="180"/>
      <c r="J53" s="24"/>
      <c r="K53" s="24"/>
      <c r="L53" s="24"/>
      <c r="M53" s="24"/>
    </row>
    <row r="54" spans="1:13" ht="12" customHeight="1" x14ac:dyDescent="0.2">
      <c r="A54" s="276">
        <v>1</v>
      </c>
      <c r="B54" s="362">
        <f>CHOOSE(A54,E9,E15,E21,E27,E33,E39)</f>
        <v>3.3942307692307692</v>
      </c>
      <c r="C54" s="185">
        <f>CHOOSE(A54,G9,G15,G21,G27,G33,G39)</f>
        <v>0.90481832300532072</v>
      </c>
      <c r="D54" s="186">
        <f>CHOOSE(A54,G10,G16,G22,G28,G34,G40)</f>
        <v>12.732724594399212</v>
      </c>
      <c r="E54" s="364">
        <f>CHOOSE(A54,F11,F17,F23,F29,F35,F41)</f>
        <v>0.67453992922813422</v>
      </c>
      <c r="F54" s="357"/>
      <c r="H54" s="180"/>
      <c r="I54" s="180"/>
      <c r="J54" s="24"/>
      <c r="K54" s="24"/>
      <c r="L54" s="24"/>
      <c r="M54" s="24"/>
    </row>
    <row r="55" spans="1:13" ht="12" customHeight="1" x14ac:dyDescent="0.2">
      <c r="A55" s="265">
        <v>2</v>
      </c>
      <c r="B55" s="363">
        <f>CHOOSE(A55,E9,E15,E21,E27,E33,E39)</f>
        <v>5.7333333333333334</v>
      </c>
      <c r="C55" s="187">
        <f>CHOOSE(A55,G9,G15,G21,G27,G33,G39)</f>
        <v>0.50161935052829609</v>
      </c>
      <c r="D55" s="188">
        <f>CHOOSE(A55,G10,G16,G22,G28,G34,G40)</f>
        <v>65.529990173807846</v>
      </c>
      <c r="E55" s="365">
        <f>CHOOSE(A55,F11,F17,F23,F29,F35,F41)</f>
        <v>1.2429646979339668</v>
      </c>
      <c r="F55" s="357"/>
      <c r="H55" s="180"/>
      <c r="I55" s="180"/>
      <c r="J55" s="24"/>
      <c r="K55" s="24"/>
      <c r="L55" s="24"/>
      <c r="M55" s="24"/>
    </row>
    <row r="56" spans="1:13" ht="12" customHeight="1" x14ac:dyDescent="0.2">
      <c r="A56" s="43" t="s">
        <v>227</v>
      </c>
      <c r="B56" s="177">
        <f>B54/B55</f>
        <v>0.59201699463327373</v>
      </c>
      <c r="C56" s="360">
        <f>EXP(LN(B56)-1.96*E56)</f>
        <v>3.7028976923999618E-2</v>
      </c>
      <c r="D56" s="361">
        <f>EXP(LN(B56)+1.96*E56)</f>
        <v>9.4651311229572226</v>
      </c>
      <c r="E56" s="358">
        <f>SQRT(E54^2+E55^2)</f>
        <v>1.41420131396954</v>
      </c>
      <c r="F56" s="180"/>
      <c r="H56" s="180"/>
      <c r="I56" s="180"/>
      <c r="J56" s="24"/>
      <c r="K56" s="24"/>
      <c r="L56" s="24"/>
    </row>
    <row r="57" spans="1:13" ht="12" customHeight="1" x14ac:dyDescent="0.2">
      <c r="A57" s="49"/>
      <c r="B57" s="182"/>
      <c r="C57" s="182"/>
      <c r="D57" s="182"/>
      <c r="E57" s="149"/>
      <c r="F57" s="180"/>
      <c r="G57" s="180"/>
      <c r="H57" s="180"/>
      <c r="I57" s="180"/>
      <c r="J57" s="24"/>
      <c r="K57" s="24"/>
      <c r="L57" s="24"/>
    </row>
    <row r="58" spans="1:13" ht="12" customHeight="1" x14ac:dyDescent="0.2">
      <c r="A58" s="522" t="s">
        <v>228</v>
      </c>
      <c r="B58" s="522"/>
      <c r="C58" s="351">
        <v>1</v>
      </c>
      <c r="D58" s="44" t="s">
        <v>22</v>
      </c>
      <c r="E58" s="184">
        <f>(LN(B56)-LN(C58))/E56</f>
        <v>-0.37068268299647794</v>
      </c>
      <c r="F58" s="44" t="s">
        <v>119</v>
      </c>
      <c r="G58" s="135">
        <f>2*(1-NORMSDIST(ABS(E58)))</f>
        <v>0.71087388986954148</v>
      </c>
      <c r="H58" s="180"/>
      <c r="I58" s="180"/>
      <c r="J58" s="24"/>
      <c r="K58" s="24"/>
      <c r="L58" s="24"/>
    </row>
    <row r="59" spans="1:13" ht="12" customHeight="1" x14ac:dyDescent="0.2">
      <c r="A59" s="49"/>
      <c r="B59" s="182"/>
      <c r="C59" s="182"/>
      <c r="D59" s="182"/>
      <c r="E59" s="149"/>
      <c r="F59" s="180"/>
      <c r="G59" s="180"/>
      <c r="H59" s="180"/>
      <c r="I59" s="180"/>
      <c r="J59" s="24"/>
      <c r="K59" s="24"/>
      <c r="L59" s="24"/>
    </row>
    <row r="60" spans="1:13" ht="12" customHeight="1" x14ac:dyDescent="0.2">
      <c r="A60" s="179"/>
      <c r="B60" s="24"/>
      <c r="C60" s="48"/>
      <c r="D60" s="46"/>
      <c r="E60" s="46"/>
      <c r="F60" s="46"/>
      <c r="G60" s="46"/>
      <c r="H60" s="46"/>
      <c r="I60" s="46"/>
      <c r="J60" s="24"/>
      <c r="K60" s="24"/>
      <c r="L60" s="24"/>
    </row>
    <row r="61" spans="1:13" ht="12" customHeight="1" x14ac:dyDescent="0.2">
      <c r="A61" s="25" t="s">
        <v>222</v>
      </c>
      <c r="B61" s="24"/>
      <c r="C61" s="24"/>
      <c r="D61" s="46"/>
      <c r="E61" s="528"/>
      <c r="F61" s="528"/>
      <c r="G61" s="528"/>
      <c r="H61" s="526"/>
      <c r="I61" s="526"/>
      <c r="J61" s="526"/>
      <c r="K61" s="24"/>
      <c r="L61" s="24"/>
    </row>
    <row r="62" spans="1:13" ht="12" customHeight="1" x14ac:dyDescent="0.2">
      <c r="A62" s="26" t="s">
        <v>125</v>
      </c>
      <c r="B62" s="26" t="s">
        <v>1</v>
      </c>
      <c r="C62" s="28" t="s">
        <v>120</v>
      </c>
      <c r="D62" s="27" t="s">
        <v>54</v>
      </c>
      <c r="E62" s="173" t="s">
        <v>3</v>
      </c>
      <c r="F62" s="171" t="s">
        <v>4</v>
      </c>
      <c r="G62" s="171" t="s">
        <v>18</v>
      </c>
      <c r="J62" s="24"/>
      <c r="K62" s="24"/>
      <c r="L62" s="24"/>
    </row>
    <row r="63" spans="1:13" ht="12" customHeight="1" x14ac:dyDescent="0.2">
      <c r="A63" s="277" t="s">
        <v>0</v>
      </c>
      <c r="B63" s="214">
        <f>SUM(B9,B15,B21,B27,B33,B39)</f>
        <v>4</v>
      </c>
      <c r="C63" s="214">
        <f>SUM(C9,C15,C21,C27,C33,C39)</f>
        <v>109</v>
      </c>
      <c r="D63" s="277">
        <f>SUM(B63:C63)</f>
        <v>113</v>
      </c>
      <c r="E63" s="216">
        <f>B63*C64/C63/B64</f>
        <v>3.501529051987768</v>
      </c>
      <c r="F63" s="155"/>
      <c r="G63" s="210">
        <f>EXP(G65)</f>
        <v>1.1103383823185715</v>
      </c>
      <c r="H63" s="239"/>
      <c r="J63" s="24"/>
      <c r="K63" s="24"/>
      <c r="L63" s="24"/>
    </row>
    <row r="64" spans="1:13" ht="12" customHeight="1" x14ac:dyDescent="0.2">
      <c r="A64" s="268">
        <v>0</v>
      </c>
      <c r="B64" s="214">
        <f>SUM(B10,B16,B22,B28,B34,B40)</f>
        <v>12</v>
      </c>
      <c r="C64" s="214">
        <f>SUM(C10,C16,C22,C28,C34,C40)</f>
        <v>1145</v>
      </c>
      <c r="D64" s="268">
        <f>SUM(B64:C64)</f>
        <v>1157</v>
      </c>
      <c r="E64" s="123"/>
      <c r="F64" s="176"/>
      <c r="G64" s="212">
        <f>EXP(G66)</f>
        <v>11.042314574690248</v>
      </c>
      <c r="H64" s="94"/>
      <c r="J64" s="24"/>
      <c r="K64" s="24"/>
      <c r="L64" s="24"/>
    </row>
    <row r="65" spans="1:12" ht="12" customHeight="1" x14ac:dyDescent="0.2">
      <c r="A65" s="26" t="s">
        <v>54</v>
      </c>
      <c r="B65" s="26">
        <f>SUM(B63:B64)</f>
        <v>16</v>
      </c>
      <c r="C65" s="28">
        <f>SUM(C63:C64)</f>
        <v>1254</v>
      </c>
      <c r="D65" s="27">
        <f>SUM(B65:C65)</f>
        <v>1270</v>
      </c>
      <c r="E65" s="180">
        <f>LN(E63)</f>
        <v>1.2531997450910868</v>
      </c>
      <c r="F65" s="180">
        <f>SQRT(1/B63+1/B64+1/C63+1/C64)</f>
        <v>0.58598720780009672</v>
      </c>
      <c r="G65" s="180">
        <f>E65-1.96*F65</f>
        <v>0.10466481780289727</v>
      </c>
      <c r="H65" s="46"/>
      <c r="I65" s="46"/>
      <c r="J65" s="24"/>
      <c r="K65" s="24"/>
      <c r="L65" s="24"/>
    </row>
    <row r="66" spans="1:12" ht="12" customHeight="1" x14ac:dyDescent="0.2">
      <c r="A66" s="203"/>
      <c r="B66" s="204"/>
      <c r="C66" s="204"/>
      <c r="D66" s="46"/>
      <c r="E66" s="180"/>
      <c r="F66" s="180"/>
      <c r="G66" s="180">
        <f>E65+1.96*F65</f>
        <v>2.4017346723792761</v>
      </c>
      <c r="H66" s="46"/>
      <c r="I66" s="46"/>
      <c r="J66" s="24"/>
      <c r="K66" s="24"/>
      <c r="L66" s="24"/>
    </row>
    <row r="67" spans="1:12" x14ac:dyDescent="0.2">
      <c r="A67" s="3"/>
      <c r="B67" s="4"/>
      <c r="C67" s="4"/>
      <c r="D67" s="1"/>
      <c r="H67" s="1"/>
      <c r="I67" s="1"/>
    </row>
    <row r="68" spans="1:12" x14ac:dyDescent="0.2">
      <c r="A68" s="522" t="s">
        <v>223</v>
      </c>
      <c r="B68" s="522"/>
      <c r="C68" s="351">
        <v>1</v>
      </c>
      <c r="D68" s="44" t="s">
        <v>22</v>
      </c>
      <c r="E68" s="184">
        <f>(E65-LN(C68))/F65</f>
        <v>2.1386128031631069</v>
      </c>
      <c r="F68" s="44" t="s">
        <v>119</v>
      </c>
      <c r="G68" s="135">
        <f>2*(1-NORMSDIST(ABS(E68)))</f>
        <v>3.2467039734745073E-2</v>
      </c>
    </row>
    <row r="71" spans="1:12" x14ac:dyDescent="0.2">
      <c r="A71" s="508" t="s">
        <v>187</v>
      </c>
      <c r="B71" s="508"/>
      <c r="C71" s="508"/>
    </row>
    <row r="72" spans="1:12" x14ac:dyDescent="0.2">
      <c r="A72" s="58" t="s">
        <v>15</v>
      </c>
      <c r="B72" s="354" t="s">
        <v>140</v>
      </c>
      <c r="C72" s="142" t="s">
        <v>29</v>
      </c>
    </row>
    <row r="73" spans="1:12" x14ac:dyDescent="0.2">
      <c r="A73" s="164">
        <f>K47</f>
        <v>0.13740565147346739</v>
      </c>
      <c r="B73" s="302">
        <f>L47-1</f>
        <v>1</v>
      </c>
      <c r="C73" s="97">
        <f>CHIDIST(A73,B73)</f>
        <v>0.71087388986954125</v>
      </c>
    </row>
  </sheetData>
  <sheetProtection sheet="1" objects="1" scenarios="1" formatCells="0" formatColumns="0"/>
  <mergeCells count="20">
    <mergeCell ref="A71:C71"/>
    <mergeCell ref="C53:D53"/>
    <mergeCell ref="A52:D52"/>
    <mergeCell ref="B25:G25"/>
    <mergeCell ref="A68:B68"/>
    <mergeCell ref="A58:B58"/>
    <mergeCell ref="A49:B49"/>
    <mergeCell ref="B37:G37"/>
    <mergeCell ref="H61:J61"/>
    <mergeCell ref="E43:G43"/>
    <mergeCell ref="E61:G61"/>
    <mergeCell ref="I1:I2"/>
    <mergeCell ref="H43:I43"/>
    <mergeCell ref="A4:G4"/>
    <mergeCell ref="B7:G7"/>
    <mergeCell ref="B13:G13"/>
    <mergeCell ref="C1:F1"/>
    <mergeCell ref="B31:G31"/>
    <mergeCell ref="A3:G3"/>
    <mergeCell ref="B19:G19"/>
  </mergeCells>
  <phoneticPr fontId="0" type="noConversion"/>
  <hyperlinks>
    <hyperlink ref="I1:I2" location="Start!A1" display="Start"/>
  </hyperlinks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J70"/>
  <sheetViews>
    <sheetView topLeftCell="A4" workbookViewId="0">
      <selection activeCell="D10" sqref="D10"/>
    </sheetView>
  </sheetViews>
  <sheetFormatPr defaultRowHeight="12.75" x14ac:dyDescent="0.2"/>
  <cols>
    <col min="1" max="2" width="8.7109375" customWidth="1"/>
    <col min="3" max="3" width="11.7109375" customWidth="1"/>
    <col min="4" max="9" width="8.7109375" customWidth="1"/>
    <col min="10" max="10" width="9.140625" hidden="1" customWidth="1"/>
  </cols>
  <sheetData>
    <row r="1" spans="1:9" ht="12" customHeight="1" x14ac:dyDescent="0.2">
      <c r="A1" s="7" t="s">
        <v>160</v>
      </c>
      <c r="C1" s="469" t="s">
        <v>161</v>
      </c>
      <c r="D1" s="469"/>
      <c r="E1" s="469"/>
      <c r="F1" s="469"/>
      <c r="I1" s="475" t="s">
        <v>186</v>
      </c>
    </row>
    <row r="2" spans="1:9" ht="12" customHeight="1" x14ac:dyDescent="0.2">
      <c r="A2" s="7"/>
      <c r="C2" s="298"/>
      <c r="D2" s="298"/>
      <c r="E2" s="298"/>
      <c r="F2" s="298"/>
      <c r="I2" s="476"/>
    </row>
    <row r="3" spans="1:9" ht="12" customHeight="1" x14ac:dyDescent="0.2">
      <c r="A3" s="7"/>
      <c r="B3" s="7"/>
    </row>
    <row r="4" spans="1:9" ht="12" customHeight="1" x14ac:dyDescent="0.2">
      <c r="A4" s="24"/>
      <c r="B4" s="24"/>
      <c r="C4" s="24"/>
      <c r="D4" s="24"/>
      <c r="E4" s="24"/>
      <c r="F4" s="24"/>
      <c r="G4" s="24"/>
      <c r="H4" s="24"/>
      <c r="I4" s="24"/>
    </row>
    <row r="5" spans="1:9" ht="12" customHeight="1" x14ac:dyDescent="0.2">
      <c r="A5" s="497" t="s">
        <v>130</v>
      </c>
      <c r="B5" s="498"/>
      <c r="C5" s="498"/>
      <c r="D5" s="498"/>
      <c r="E5" s="498"/>
      <c r="F5" s="498"/>
      <c r="G5" s="499"/>
      <c r="H5" s="24"/>
      <c r="I5" s="24"/>
    </row>
    <row r="6" spans="1:9" ht="12" customHeight="1" x14ac:dyDescent="0.2">
      <c r="A6" s="500" t="s">
        <v>131</v>
      </c>
      <c r="B6" s="501"/>
      <c r="C6" s="501"/>
      <c r="D6" s="501"/>
      <c r="E6" s="501"/>
      <c r="F6" s="501"/>
      <c r="G6" s="502"/>
      <c r="H6" s="24"/>
      <c r="I6" s="24"/>
    </row>
    <row r="7" spans="1:9" ht="12" customHeight="1" x14ac:dyDescent="0.2">
      <c r="A7" s="171" t="s">
        <v>171</v>
      </c>
      <c r="B7" s="204"/>
      <c r="C7" s="204"/>
      <c r="D7" s="46"/>
      <c r="E7" s="180"/>
      <c r="F7" s="180"/>
      <c r="G7" s="180" t="str">
        <f>IF(E5="","",E5+1.96*F5)</f>
        <v/>
      </c>
      <c r="H7" s="24"/>
      <c r="I7" s="24"/>
    </row>
    <row r="8" spans="1:9" ht="12" customHeight="1" x14ac:dyDescent="0.2">
      <c r="A8" s="356">
        <v>1</v>
      </c>
      <c r="B8" s="523" t="s">
        <v>280</v>
      </c>
      <c r="C8" s="524"/>
      <c r="D8" s="524"/>
      <c r="E8" s="524"/>
      <c r="F8" s="524"/>
      <c r="G8" s="525"/>
      <c r="H8" s="24"/>
      <c r="I8" s="24"/>
    </row>
    <row r="9" spans="1:9" ht="12" customHeight="1" x14ac:dyDescent="0.2">
      <c r="A9" s="26" t="s">
        <v>125</v>
      </c>
      <c r="B9" s="26" t="s">
        <v>10</v>
      </c>
      <c r="C9" s="28" t="s">
        <v>11</v>
      </c>
      <c r="D9" s="27" t="s">
        <v>12</v>
      </c>
      <c r="E9" s="173" t="s">
        <v>14</v>
      </c>
      <c r="F9" s="171" t="s">
        <v>4</v>
      </c>
      <c r="G9" s="174" t="s">
        <v>5</v>
      </c>
      <c r="H9" s="369" t="s">
        <v>8</v>
      </c>
      <c r="I9" s="369" t="s">
        <v>21</v>
      </c>
    </row>
    <row r="10" spans="1:9" ht="12" customHeight="1" x14ac:dyDescent="0.2">
      <c r="A10" s="30" t="s">
        <v>0</v>
      </c>
      <c r="B10" s="153">
        <v>34</v>
      </c>
      <c r="C10" s="295">
        <v>1516</v>
      </c>
      <c r="D10" s="243">
        <f>IF(C10=0,"",$D$13*B10/C10)</f>
        <v>22.427440633245382</v>
      </c>
      <c r="E10" s="122">
        <f>IF(D11="","",D10/D11)</f>
        <v>3.8149076517150395</v>
      </c>
      <c r="F10" s="155"/>
      <c r="G10" s="157">
        <f>IF(G12="","",EXP(G12))</f>
        <v>1.8848138492591826</v>
      </c>
      <c r="H10" s="46"/>
      <c r="I10" s="46"/>
    </row>
    <row r="11" spans="1:9" ht="12" customHeight="1" x14ac:dyDescent="0.2">
      <c r="A11" s="30">
        <v>0</v>
      </c>
      <c r="B11" s="160">
        <v>10</v>
      </c>
      <c r="C11" s="296">
        <v>1701</v>
      </c>
      <c r="D11" s="244">
        <f>IF(C11=0,"",$D$13*B11/C11)</f>
        <v>5.8788947677836569</v>
      </c>
      <c r="E11" s="123"/>
      <c r="F11" s="176"/>
      <c r="G11" s="178">
        <f>IF(G13="","",EXP(G13))</f>
        <v>7.7214629958465917</v>
      </c>
      <c r="H11" s="46"/>
      <c r="I11" s="46"/>
    </row>
    <row r="12" spans="1:9" ht="12" customHeight="1" x14ac:dyDescent="0.2">
      <c r="A12" s="26" t="s">
        <v>54</v>
      </c>
      <c r="B12" s="26">
        <f>SUM(B10:B11)</f>
        <v>44</v>
      </c>
      <c r="C12" s="297">
        <f>SUM(C10:C11)</f>
        <v>3217</v>
      </c>
      <c r="D12" s="244">
        <f>IF(C12=0,"",$D$13*B12/C12)</f>
        <v>13.677339135840846</v>
      </c>
      <c r="E12" s="180">
        <f>IF(E10="","",LN(E10))</f>
        <v>1.3389164578156605</v>
      </c>
      <c r="F12" s="180">
        <f>IF(B12=0,"",SQRT(1/B10+1/B11))</f>
        <v>0.35973846709225071</v>
      </c>
      <c r="G12" s="180">
        <f>IF(E12="","",E12-1.96*F12)</f>
        <v>0.63382906231484915</v>
      </c>
      <c r="H12" s="180">
        <f>IF(F12="","",1/(F12^2))</f>
        <v>7.7272727272727284</v>
      </c>
      <c r="I12" s="180">
        <f>IF(E12="","",E12*H12)</f>
        <v>10.346172628575561</v>
      </c>
    </row>
    <row r="13" spans="1:9" ht="12" customHeight="1" x14ac:dyDescent="0.2">
      <c r="A13" s="203"/>
      <c r="B13" s="204"/>
      <c r="C13" s="246" t="s">
        <v>28</v>
      </c>
      <c r="D13" s="31">
        <v>1000</v>
      </c>
      <c r="E13" s="234"/>
      <c r="F13" s="234"/>
      <c r="G13" s="180">
        <f>IF(E12="","",E12+1.96*F12)</f>
        <v>2.0440038533164717</v>
      </c>
      <c r="H13" s="234"/>
      <c r="I13" s="234"/>
    </row>
    <row r="14" spans="1:9" ht="12" customHeight="1" x14ac:dyDescent="0.2">
      <c r="A14" s="203"/>
      <c r="B14" s="204"/>
      <c r="C14" s="247"/>
      <c r="D14" s="24"/>
      <c r="E14" s="24"/>
      <c r="F14" s="24"/>
      <c r="G14" s="24"/>
      <c r="H14" s="24"/>
      <c r="I14" s="24"/>
    </row>
    <row r="15" spans="1:9" ht="12" customHeight="1" x14ac:dyDescent="0.2">
      <c r="A15" s="356">
        <v>2</v>
      </c>
      <c r="B15" s="523" t="s">
        <v>279</v>
      </c>
      <c r="C15" s="524"/>
      <c r="D15" s="524"/>
      <c r="E15" s="524"/>
      <c r="F15" s="524"/>
      <c r="G15" s="525"/>
      <c r="H15" s="24"/>
      <c r="I15" s="24"/>
    </row>
    <row r="16" spans="1:9" ht="12" customHeight="1" x14ac:dyDescent="0.2">
      <c r="A16" s="26" t="s">
        <v>125</v>
      </c>
      <c r="B16" s="26" t="s">
        <v>10</v>
      </c>
      <c r="C16" s="248" t="s">
        <v>11</v>
      </c>
      <c r="D16" s="27" t="s">
        <v>12</v>
      </c>
      <c r="E16" s="173" t="s">
        <v>14</v>
      </c>
      <c r="F16" s="171" t="s">
        <v>4</v>
      </c>
      <c r="G16" s="174" t="s">
        <v>5</v>
      </c>
      <c r="H16" s="175"/>
      <c r="I16" s="175"/>
    </row>
    <row r="17" spans="1:9" ht="12" customHeight="1" x14ac:dyDescent="0.2">
      <c r="A17" s="30" t="s">
        <v>0</v>
      </c>
      <c r="B17" s="153">
        <v>76</v>
      </c>
      <c r="C17" s="295">
        <v>949</v>
      </c>
      <c r="D17" s="243">
        <f>IF(C17=0,"",$D$13*B17/C17)</f>
        <v>80.08429926238145</v>
      </c>
      <c r="E17" s="122">
        <f>IF(D18="","",D17/D18)</f>
        <v>1.4858615854879864</v>
      </c>
      <c r="F17" s="155"/>
      <c r="G17" s="157">
        <f>IF(G19="","",EXP(G19))</f>
        <v>1.1152981605630397</v>
      </c>
      <c r="H17" s="46"/>
      <c r="I17" s="46"/>
    </row>
    <row r="18" spans="1:9" ht="12" customHeight="1" x14ac:dyDescent="0.2">
      <c r="A18" s="30">
        <v>0</v>
      </c>
      <c r="B18" s="160">
        <v>121</v>
      </c>
      <c r="C18" s="296">
        <v>2245</v>
      </c>
      <c r="D18" s="244">
        <f>IF(C18=0,"",$D$13*B18/C18)</f>
        <v>53.897550111358576</v>
      </c>
      <c r="E18" s="123"/>
      <c r="F18" s="176"/>
      <c r="G18" s="178">
        <f>IF(G20="","",EXP(G20))</f>
        <v>1.9795465726531007</v>
      </c>
      <c r="H18" s="46"/>
      <c r="I18" s="46"/>
    </row>
    <row r="19" spans="1:9" ht="12" customHeight="1" x14ac:dyDescent="0.2">
      <c r="A19" s="26" t="s">
        <v>54</v>
      </c>
      <c r="B19" s="26">
        <f>SUM(B17:B18)</f>
        <v>197</v>
      </c>
      <c r="C19" s="297">
        <f>SUM(C17:C18)</f>
        <v>3194</v>
      </c>
      <c r="D19" s="244">
        <f>IF(C19=0,"",$D$13*B19/C19)</f>
        <v>61.678146524733876</v>
      </c>
      <c r="E19" s="180">
        <f>IF(E17="","",LN(E17))</f>
        <v>0.39599479625601675</v>
      </c>
      <c r="F19" s="180">
        <f>IF(B19=0,"",SQRT(1/B17+1/B18))</f>
        <v>0.14636378495638688</v>
      </c>
      <c r="G19" s="180">
        <f>IF(E19="","",E19-1.96*F19)</f>
        <v>0.10912177774149845</v>
      </c>
      <c r="H19" s="180">
        <f>IF(F19="","",1/(F19^2))</f>
        <v>46.680203045685275</v>
      </c>
      <c r="I19" s="180">
        <f>IF(E19="","",E19*H19)</f>
        <v>18.485117494265634</v>
      </c>
    </row>
    <row r="20" spans="1:9" ht="12" customHeight="1" x14ac:dyDescent="0.2">
      <c r="A20" s="203"/>
      <c r="B20" s="204"/>
      <c r="C20" s="246"/>
      <c r="D20" s="249"/>
      <c r="E20" s="234"/>
      <c r="F20" s="234"/>
      <c r="G20" s="180">
        <f>IF(E19="","",E19+1.96*F19)</f>
        <v>0.68286781477053504</v>
      </c>
      <c r="H20" s="234"/>
      <c r="I20" s="234"/>
    </row>
    <row r="21" spans="1:9" ht="12" customHeight="1" x14ac:dyDescent="0.2">
      <c r="A21" s="356">
        <v>3</v>
      </c>
      <c r="B21" s="523"/>
      <c r="C21" s="524"/>
      <c r="D21" s="524"/>
      <c r="E21" s="524"/>
      <c r="F21" s="524"/>
      <c r="G21" s="525"/>
      <c r="H21" s="24"/>
      <c r="I21" s="24"/>
    </row>
    <row r="22" spans="1:9" ht="12" customHeight="1" x14ac:dyDescent="0.2">
      <c r="A22" s="26" t="s">
        <v>125</v>
      </c>
      <c r="B22" s="26" t="s">
        <v>10</v>
      </c>
      <c r="C22" s="248" t="s">
        <v>11</v>
      </c>
      <c r="D22" s="27" t="s">
        <v>12</v>
      </c>
      <c r="E22" s="173" t="s">
        <v>14</v>
      </c>
      <c r="F22" s="171" t="s">
        <v>4</v>
      </c>
      <c r="G22" s="174" t="s">
        <v>5</v>
      </c>
      <c r="H22" s="175"/>
      <c r="I22" s="175"/>
    </row>
    <row r="23" spans="1:9" ht="12" customHeight="1" x14ac:dyDescent="0.2">
      <c r="A23" s="30" t="s">
        <v>0</v>
      </c>
      <c r="B23" s="153"/>
      <c r="C23" s="295"/>
      <c r="D23" s="243" t="str">
        <f>IF(C23=0,"",$D$13*B23/C23)</f>
        <v/>
      </c>
      <c r="E23" s="122" t="str">
        <f>IF(D24="","",D23/D24)</f>
        <v/>
      </c>
      <c r="F23" s="155"/>
      <c r="G23" s="157" t="str">
        <f>IF(G25="","",EXP(G25))</f>
        <v/>
      </c>
      <c r="H23" s="46"/>
      <c r="I23" s="46"/>
    </row>
    <row r="24" spans="1:9" ht="12" customHeight="1" x14ac:dyDescent="0.2">
      <c r="A24" s="30">
        <v>0</v>
      </c>
      <c r="B24" s="160"/>
      <c r="C24" s="296"/>
      <c r="D24" s="244" t="str">
        <f>IF(C24=0,"",$D$13*B24/C24)</f>
        <v/>
      </c>
      <c r="E24" s="123"/>
      <c r="F24" s="176"/>
      <c r="G24" s="178" t="str">
        <f>IF(G26="","",EXP(G26))</f>
        <v/>
      </c>
      <c r="H24" s="46"/>
      <c r="I24" s="46"/>
    </row>
    <row r="25" spans="1:9" ht="12" customHeight="1" x14ac:dyDescent="0.2">
      <c r="A25" s="26" t="s">
        <v>54</v>
      </c>
      <c r="B25" s="26">
        <f>SUM(B23:B24)</f>
        <v>0</v>
      </c>
      <c r="C25" s="297">
        <f>SUM(C23:C24)</f>
        <v>0</v>
      </c>
      <c r="D25" s="244" t="str">
        <f>IF(C25=0,"",$D$13*B25/C25)</f>
        <v/>
      </c>
      <c r="E25" s="180" t="str">
        <f>IF(E23="","",LN(E23))</f>
        <v/>
      </c>
      <c r="F25" s="180" t="str">
        <f>IF(B25=0,"",SQRT(1/B23+1/B24))</f>
        <v/>
      </c>
      <c r="G25" s="180" t="str">
        <f>IF(E25="","",E25-1.96*F25)</f>
        <v/>
      </c>
      <c r="H25" s="180" t="str">
        <f>IF(F25="","",1/(F25^2))</f>
        <v/>
      </c>
      <c r="I25" s="180" t="str">
        <f>IF(E25="","",E25*H25)</f>
        <v/>
      </c>
    </row>
    <row r="26" spans="1:9" ht="12" customHeight="1" x14ac:dyDescent="0.2">
      <c r="A26" s="203"/>
      <c r="B26" s="204"/>
      <c r="C26" s="246"/>
      <c r="D26" s="249"/>
      <c r="E26" s="234"/>
      <c r="F26" s="234"/>
      <c r="G26" s="180" t="str">
        <f>IF(E25="","",E25+1.96*F25)</f>
        <v/>
      </c>
      <c r="H26" s="234"/>
      <c r="I26" s="234"/>
    </row>
    <row r="27" spans="1:9" ht="12" customHeight="1" x14ac:dyDescent="0.2">
      <c r="A27" s="356">
        <v>4</v>
      </c>
      <c r="B27" s="523"/>
      <c r="C27" s="524"/>
      <c r="D27" s="524"/>
      <c r="E27" s="524"/>
      <c r="F27" s="524"/>
      <c r="G27" s="525"/>
      <c r="H27" s="24"/>
      <c r="I27" s="24"/>
    </row>
    <row r="28" spans="1:9" ht="12" customHeight="1" x14ac:dyDescent="0.2">
      <c r="A28" s="26" t="s">
        <v>125</v>
      </c>
      <c r="B28" s="26" t="s">
        <v>10</v>
      </c>
      <c r="C28" s="248" t="s">
        <v>11</v>
      </c>
      <c r="D28" s="27" t="s">
        <v>12</v>
      </c>
      <c r="E28" s="173" t="s">
        <v>14</v>
      </c>
      <c r="F28" s="171" t="s">
        <v>4</v>
      </c>
      <c r="G28" s="174" t="s">
        <v>5</v>
      </c>
      <c r="H28" s="175"/>
      <c r="I28" s="175"/>
    </row>
    <row r="29" spans="1:9" ht="12" customHeight="1" x14ac:dyDescent="0.2">
      <c r="A29" s="30" t="s">
        <v>0</v>
      </c>
      <c r="B29" s="153"/>
      <c r="C29" s="295"/>
      <c r="D29" s="243" t="str">
        <f>IF(C29=0,"",$D$13*B29/C29)</f>
        <v/>
      </c>
      <c r="E29" s="122" t="str">
        <f>IF(D30="","",D29/D30)</f>
        <v/>
      </c>
      <c r="F29" s="155"/>
      <c r="G29" s="157" t="str">
        <f>IF(G31="","",EXP(G31))</f>
        <v/>
      </c>
      <c r="H29" s="46"/>
      <c r="I29" s="46"/>
    </row>
    <row r="30" spans="1:9" ht="12" customHeight="1" x14ac:dyDescent="0.2">
      <c r="A30" s="30">
        <v>0</v>
      </c>
      <c r="B30" s="160"/>
      <c r="C30" s="296"/>
      <c r="D30" s="244" t="str">
        <f>IF(C30=0,"",$D$13*B30/C30)</f>
        <v/>
      </c>
      <c r="E30" s="123"/>
      <c r="F30" s="176"/>
      <c r="G30" s="178" t="str">
        <f>IF(G32="","",EXP(G32))</f>
        <v/>
      </c>
      <c r="H30" s="46"/>
      <c r="I30" s="46"/>
    </row>
    <row r="31" spans="1:9" ht="12" customHeight="1" x14ac:dyDescent="0.2">
      <c r="A31" s="26" t="s">
        <v>54</v>
      </c>
      <c r="B31" s="26">
        <f>SUM(B29:B30)</f>
        <v>0</v>
      </c>
      <c r="C31" s="297">
        <f>SUM(C29:C30)</f>
        <v>0</v>
      </c>
      <c r="D31" s="244" t="str">
        <f>IF(C31=0,"",$D$13*B31/C31)</f>
        <v/>
      </c>
      <c r="E31" s="180" t="str">
        <f>IF(E29="","",LN(E29))</f>
        <v/>
      </c>
      <c r="F31" s="180" t="str">
        <f>IF(B31=0,"",SQRT(1/B29+1/B30))</f>
        <v/>
      </c>
      <c r="G31" s="180" t="str">
        <f>IF(E31="","",E31-1.96*F31)</f>
        <v/>
      </c>
      <c r="H31" s="180" t="str">
        <f>IF(F31="","",1/(F31^2))</f>
        <v/>
      </c>
      <c r="I31" s="180" t="str">
        <f>IF(E31="","",E31*H31)</f>
        <v/>
      </c>
    </row>
    <row r="32" spans="1:9" ht="12" customHeight="1" x14ac:dyDescent="0.2">
      <c r="A32" s="203"/>
      <c r="B32" s="204"/>
      <c r="C32" s="246"/>
      <c r="D32" s="249"/>
      <c r="E32" s="234"/>
      <c r="F32" s="234"/>
      <c r="G32" s="180" t="str">
        <f>IF(E31="","",E31+1.96*F31)</f>
        <v/>
      </c>
      <c r="H32" s="234"/>
      <c r="I32" s="234"/>
    </row>
    <row r="33" spans="1:10" ht="12" customHeight="1" x14ac:dyDescent="0.2">
      <c r="A33" s="356">
        <v>5</v>
      </c>
      <c r="B33" s="523"/>
      <c r="C33" s="524"/>
      <c r="D33" s="524"/>
      <c r="E33" s="524"/>
      <c r="F33" s="524"/>
      <c r="G33" s="525"/>
      <c r="H33" s="24"/>
      <c r="I33" s="24"/>
    </row>
    <row r="34" spans="1:10" ht="12" customHeight="1" x14ac:dyDescent="0.2">
      <c r="A34" s="26" t="s">
        <v>125</v>
      </c>
      <c r="B34" s="26" t="s">
        <v>10</v>
      </c>
      <c r="C34" s="248" t="s">
        <v>11</v>
      </c>
      <c r="D34" s="59" t="s">
        <v>12</v>
      </c>
      <c r="E34" s="173" t="s">
        <v>14</v>
      </c>
      <c r="F34" s="171" t="s">
        <v>4</v>
      </c>
      <c r="G34" s="174" t="s">
        <v>5</v>
      </c>
      <c r="H34" s="175"/>
      <c r="I34" s="175"/>
    </row>
    <row r="35" spans="1:10" ht="12" customHeight="1" x14ac:dyDescent="0.2">
      <c r="A35" s="30" t="s">
        <v>0</v>
      </c>
      <c r="B35" s="153"/>
      <c r="C35" s="295"/>
      <c r="D35" s="243" t="str">
        <f>IF(C35=0,"",$D$13*B35/C35)</f>
        <v/>
      </c>
      <c r="E35" s="122" t="str">
        <f>IF(D36="","",D35/D36)</f>
        <v/>
      </c>
      <c r="F35" s="155"/>
      <c r="G35" s="157" t="str">
        <f>IF(G37="","",EXP(G37))</f>
        <v/>
      </c>
      <c r="H35" s="46"/>
      <c r="I35" s="46"/>
    </row>
    <row r="36" spans="1:10" ht="12" customHeight="1" x14ac:dyDescent="0.2">
      <c r="A36" s="30">
        <v>0</v>
      </c>
      <c r="B36" s="160"/>
      <c r="C36" s="296"/>
      <c r="D36" s="244" t="str">
        <f>IF(C36=0,"",$D$13*B36/C36)</f>
        <v/>
      </c>
      <c r="E36" s="123"/>
      <c r="F36" s="176"/>
      <c r="G36" s="178" t="str">
        <f>IF(G38="","",EXP(G38))</f>
        <v/>
      </c>
      <c r="H36" s="46"/>
      <c r="I36" s="46"/>
    </row>
    <row r="37" spans="1:10" ht="12" customHeight="1" x14ac:dyDescent="0.2">
      <c r="A37" s="26" t="s">
        <v>54</v>
      </c>
      <c r="B37" s="26">
        <f>SUM(B35:B36)</f>
        <v>0</v>
      </c>
      <c r="C37" s="297">
        <f>SUM(C35:C36)</f>
        <v>0</v>
      </c>
      <c r="D37" s="244" t="str">
        <f>IF(C37=0,"",$D$13*B37/C37)</f>
        <v/>
      </c>
      <c r="E37" s="180" t="str">
        <f>IF(E35="","",LN(E35))</f>
        <v/>
      </c>
      <c r="F37" s="180" t="str">
        <f>IF(B37=0,"",SQRT(1/B35+1/B36))</f>
        <v/>
      </c>
      <c r="G37" s="180" t="str">
        <f>IF(E37="","",E37-1.96*F37)</f>
        <v/>
      </c>
      <c r="H37" s="180" t="str">
        <f>IF(F37="","",1/(F37^2))</f>
        <v/>
      </c>
      <c r="I37" s="180" t="str">
        <f>IF(E37="","",E37*H37)</f>
        <v/>
      </c>
    </row>
    <row r="38" spans="1:10" ht="12" customHeight="1" x14ac:dyDescent="0.2">
      <c r="A38" s="203"/>
      <c r="B38" s="204"/>
      <c r="C38" s="246"/>
      <c r="D38" s="249"/>
      <c r="E38" s="234"/>
      <c r="F38" s="234"/>
      <c r="G38" s="180" t="str">
        <f>IF(E37="","",E37+1.96*F37)</f>
        <v/>
      </c>
      <c r="H38" s="234"/>
      <c r="I38" s="234"/>
    </row>
    <row r="39" spans="1:10" ht="12" customHeight="1" x14ac:dyDescent="0.2">
      <c r="A39" s="356">
        <v>6</v>
      </c>
      <c r="B39" s="523"/>
      <c r="C39" s="524"/>
      <c r="D39" s="524"/>
      <c r="E39" s="524"/>
      <c r="F39" s="524"/>
      <c r="G39" s="525"/>
      <c r="H39" s="24"/>
      <c r="I39" s="24"/>
    </row>
    <row r="40" spans="1:10" ht="12" customHeight="1" x14ac:dyDescent="0.2">
      <c r="A40" s="26" t="s">
        <v>125</v>
      </c>
      <c r="B40" s="26" t="s">
        <v>10</v>
      </c>
      <c r="C40" s="248" t="s">
        <v>11</v>
      </c>
      <c r="D40" s="59" t="s">
        <v>12</v>
      </c>
      <c r="E40" s="173" t="s">
        <v>14</v>
      </c>
      <c r="F40" s="171" t="s">
        <v>4</v>
      </c>
      <c r="G40" s="174" t="s">
        <v>5</v>
      </c>
      <c r="H40" s="175"/>
      <c r="I40" s="175"/>
    </row>
    <row r="41" spans="1:10" ht="12" customHeight="1" x14ac:dyDescent="0.2">
      <c r="A41" s="30" t="s">
        <v>0</v>
      </c>
      <c r="B41" s="153"/>
      <c r="C41" s="295"/>
      <c r="D41" s="243" t="str">
        <f>IF(C41=0,"",$D$13*B41/C41)</f>
        <v/>
      </c>
      <c r="E41" s="122" t="str">
        <f>IF(D42="","",D41/D42)</f>
        <v/>
      </c>
      <c r="F41" s="155"/>
      <c r="G41" s="157" t="str">
        <f>IF(G43="","",EXP(G43))</f>
        <v/>
      </c>
      <c r="H41" s="46"/>
      <c r="I41" s="46"/>
    </row>
    <row r="42" spans="1:10" ht="12" customHeight="1" x14ac:dyDescent="0.2">
      <c r="A42" s="30">
        <v>0</v>
      </c>
      <c r="B42" s="160"/>
      <c r="C42" s="296"/>
      <c r="D42" s="244" t="str">
        <f>IF(C42=0,"",$D$13*B42/C42)</f>
        <v/>
      </c>
      <c r="E42" s="123"/>
      <c r="F42" s="176"/>
      <c r="G42" s="178" t="str">
        <f>IF(G44="","",EXP(G44))</f>
        <v/>
      </c>
      <c r="H42" s="46"/>
      <c r="I42" s="46"/>
    </row>
    <row r="43" spans="1:10" ht="12" customHeight="1" x14ac:dyDescent="0.2">
      <c r="A43" s="26" t="s">
        <v>54</v>
      </c>
      <c r="B43" s="26">
        <f>SUM(B41:B42)</f>
        <v>0</v>
      </c>
      <c r="C43" s="297">
        <f>SUM(C41:C42)</f>
        <v>0</v>
      </c>
      <c r="D43" s="244" t="str">
        <f>IF(C43=0,"",$D$13*B43/C43)</f>
        <v/>
      </c>
      <c r="E43" s="180" t="str">
        <f>IF(E41="","",LN(E41))</f>
        <v/>
      </c>
      <c r="F43" s="180" t="str">
        <f>IF(B43=0,"",SQRT(1/B41+1/B42))</f>
        <v/>
      </c>
      <c r="G43" s="180" t="str">
        <f>IF(E43="","",E43-1.96*F43)</f>
        <v/>
      </c>
      <c r="H43" s="180" t="str">
        <f>IF(F43="","",1/(F43^2))</f>
        <v/>
      </c>
      <c r="I43" s="180" t="str">
        <f>IF(E43="","",E43*H43)</f>
        <v/>
      </c>
    </row>
    <row r="44" spans="1:10" ht="12" customHeight="1" x14ac:dyDescent="0.2">
      <c r="A44" s="203"/>
      <c r="B44" s="204"/>
      <c r="C44" s="246"/>
      <c r="D44" s="249"/>
      <c r="E44" s="234"/>
      <c r="F44" s="234"/>
      <c r="G44" s="180" t="str">
        <f>IF(E43="","",E43+1.96*F43)</f>
        <v/>
      </c>
      <c r="H44" s="234"/>
      <c r="I44" s="234"/>
    </row>
    <row r="45" spans="1:10" ht="12" customHeight="1" x14ac:dyDescent="0.2">
      <c r="A45" s="203"/>
      <c r="B45" s="204"/>
      <c r="C45" s="250"/>
      <c r="D45" s="24"/>
      <c r="E45" s="24"/>
      <c r="F45" s="24"/>
      <c r="G45" s="24"/>
      <c r="H45" s="24"/>
      <c r="I45" s="24"/>
    </row>
    <row r="46" spans="1:10" ht="12" customHeight="1" x14ac:dyDescent="0.2">
      <c r="A46" s="205" t="s">
        <v>185</v>
      </c>
      <c r="B46" s="208"/>
      <c r="C46" s="208"/>
      <c r="D46" s="24"/>
      <c r="E46" s="205" t="s">
        <v>26</v>
      </c>
      <c r="F46" s="175"/>
      <c r="G46" s="206"/>
      <c r="H46" s="24"/>
      <c r="I46" s="24"/>
    </row>
    <row r="47" spans="1:10" ht="12" customHeight="1" x14ac:dyDescent="0.2">
      <c r="A47" s="530"/>
      <c r="B47" s="480"/>
      <c r="C47" s="449"/>
      <c r="D47" s="40"/>
      <c r="E47" s="236" t="s">
        <v>14</v>
      </c>
      <c r="F47" s="237" t="s">
        <v>4</v>
      </c>
      <c r="G47" s="238" t="s">
        <v>5</v>
      </c>
      <c r="H47" s="239"/>
      <c r="I47" s="211"/>
    </row>
    <row r="48" spans="1:10" ht="12" customHeight="1" x14ac:dyDescent="0.2">
      <c r="A48" s="239"/>
      <c r="B48" s="211"/>
      <c r="C48" s="40"/>
      <c r="D48" s="40"/>
      <c r="E48" s="240">
        <f>EXP(E50)</f>
        <v>1.6987864254764213</v>
      </c>
      <c r="F48" s="241"/>
      <c r="G48" s="242">
        <f>EXP(G50)</f>
        <v>1.3023789782388688</v>
      </c>
      <c r="H48" s="94"/>
      <c r="I48" s="251"/>
      <c r="J48">
        <f>SUMIF(I12:I43,"&gt;0")</f>
        <v>28.831290122841196</v>
      </c>
    </row>
    <row r="49" spans="1:10" ht="12" customHeight="1" x14ac:dyDescent="0.2">
      <c r="A49" s="94"/>
      <c r="B49" s="69"/>
      <c r="C49" s="44"/>
      <c r="D49" s="40"/>
      <c r="E49" s="123"/>
      <c r="F49" s="176"/>
      <c r="G49" s="212">
        <f>EXP(G51)</f>
        <v>2.2158491250260788</v>
      </c>
      <c r="H49" s="24"/>
      <c r="I49" s="24"/>
      <c r="J49">
        <f>SUMIF(I12:I43,"&lt;0")</f>
        <v>0</v>
      </c>
    </row>
    <row r="50" spans="1:10" ht="12" customHeight="1" x14ac:dyDescent="0.2">
      <c r="A50" s="24"/>
      <c r="B50" s="24"/>
      <c r="C50" s="246"/>
      <c r="D50" s="94"/>
      <c r="E50" s="180">
        <f>I50/H50</f>
        <v>0.52991412877072186</v>
      </c>
      <c r="F50" s="180">
        <f>SQRT(1/H50)</f>
        <v>0.13557222113365111</v>
      </c>
      <c r="G50" s="180">
        <f>E50-1.96*F50</f>
        <v>0.26419257534876567</v>
      </c>
      <c r="H50" s="180">
        <f>SUMIF(H12:H49,"&gt;0")</f>
        <v>54.407475772958001</v>
      </c>
      <c r="I50" s="180">
        <f>SUM(J48:J49)</f>
        <v>28.831290122841196</v>
      </c>
    </row>
    <row r="51" spans="1:10" ht="12" customHeight="1" x14ac:dyDescent="0.2">
      <c r="A51" s="24"/>
      <c r="B51" s="24"/>
      <c r="C51" s="252"/>
      <c r="D51" s="24"/>
      <c r="E51" s="180"/>
      <c r="F51" s="180"/>
      <c r="G51" s="180">
        <f>E50+1.96*F50</f>
        <v>0.795635682192678</v>
      </c>
      <c r="H51" s="180"/>
      <c r="I51" s="180"/>
    </row>
    <row r="52" spans="1:10" ht="12" customHeight="1" x14ac:dyDescent="0.2">
      <c r="A52" s="24"/>
      <c r="B52" s="24"/>
      <c r="C52" s="252"/>
      <c r="D52" s="24"/>
      <c r="E52" s="180"/>
      <c r="F52" s="180"/>
      <c r="G52" s="180"/>
      <c r="H52" s="180"/>
      <c r="I52" s="180"/>
    </row>
    <row r="53" spans="1:10" ht="12" customHeight="1" x14ac:dyDescent="0.2">
      <c r="A53" s="522" t="s">
        <v>277</v>
      </c>
      <c r="B53" s="522"/>
      <c r="C53" s="351">
        <v>1</v>
      </c>
      <c r="D53" s="44" t="s">
        <v>22</v>
      </c>
      <c r="E53" s="184">
        <f>(E50-LN(C53))/F50</f>
        <v>3.9087220401022775</v>
      </c>
      <c r="F53" s="44" t="s">
        <v>119</v>
      </c>
      <c r="G53" s="135">
        <f>2*(1-NORMSDIST(ABS(E53)))</f>
        <v>9.2785645049220378E-5</v>
      </c>
      <c r="H53" s="180"/>
      <c r="I53" s="180"/>
    </row>
    <row r="54" spans="1:10" ht="12" customHeight="1" x14ac:dyDescent="0.2">
      <c r="A54" s="508"/>
      <c r="B54" s="508"/>
      <c r="C54" s="508"/>
      <c r="D54" s="508"/>
      <c r="E54" s="180"/>
      <c r="F54" s="180"/>
      <c r="G54" s="180"/>
      <c r="H54" s="180"/>
      <c r="I54" s="180"/>
    </row>
    <row r="55" spans="1:10" ht="12" customHeight="1" x14ac:dyDescent="0.2">
      <c r="A55" s="510" t="s">
        <v>278</v>
      </c>
      <c r="B55" s="510"/>
      <c r="C55" s="510"/>
      <c r="D55" s="510"/>
      <c r="E55" s="180"/>
      <c r="F55" s="180"/>
      <c r="G55" s="180"/>
      <c r="H55" s="180"/>
      <c r="I55" s="180"/>
    </row>
    <row r="56" spans="1:10" ht="12" customHeight="1" x14ac:dyDescent="0.2">
      <c r="A56" s="59" t="s">
        <v>171</v>
      </c>
      <c r="B56" s="60" t="s">
        <v>14</v>
      </c>
      <c r="C56" s="471" t="s">
        <v>18</v>
      </c>
      <c r="D56" s="472"/>
      <c r="E56" s="461" t="s">
        <v>289</v>
      </c>
      <c r="F56" s="180"/>
      <c r="G56" s="180"/>
      <c r="H56" s="180"/>
      <c r="I56" s="180"/>
    </row>
    <row r="57" spans="1:10" ht="12" customHeight="1" x14ac:dyDescent="0.2">
      <c r="A57" s="276">
        <v>1</v>
      </c>
      <c r="B57" s="362">
        <f>CHOOSE(A57,E10,E17,E23,E29,E35,E41)</f>
        <v>3.8149076517150395</v>
      </c>
      <c r="C57" s="122">
        <f>CHOOSE(A57,G10,G17,G23,G29,G35,G41)</f>
        <v>1.8848138492591826</v>
      </c>
      <c r="D57" s="448">
        <f>CHOOSE(A57,G11,G18,G24,G30,G36,G42)</f>
        <v>7.7214629958465917</v>
      </c>
      <c r="E57" s="364">
        <f>CHOOSE(A57,F12,F19,F25,F31,F37,F43)</f>
        <v>0.35973846709225071</v>
      </c>
      <c r="F57" s="357"/>
      <c r="H57" s="180"/>
      <c r="I57" s="180"/>
    </row>
    <row r="58" spans="1:10" ht="12" customHeight="1" x14ac:dyDescent="0.2">
      <c r="A58" s="265">
        <v>2</v>
      </c>
      <c r="B58" s="363">
        <f>CHOOSE(A58,E11,E17,E23,E29,E35,E41)</f>
        <v>1.4858615854879864</v>
      </c>
      <c r="C58" s="187">
        <f>CHOOSE(A58,G10,G17,G23,G29,G35,G41)</f>
        <v>1.1152981605630397</v>
      </c>
      <c r="D58" s="188">
        <f>CHOOSE(A58,G12,G18,G24,G30,G36,G42)</f>
        <v>1.9795465726531007</v>
      </c>
      <c r="E58" s="365">
        <f>CHOOSE(A58,F13,F19,F25,F31,F37,F43)</f>
        <v>0.14636378495638688</v>
      </c>
      <c r="F58" s="357"/>
      <c r="H58" s="180"/>
      <c r="I58" s="180"/>
    </row>
    <row r="59" spans="1:10" ht="12" customHeight="1" x14ac:dyDescent="0.2">
      <c r="A59" s="43" t="s">
        <v>227</v>
      </c>
      <c r="B59" s="177">
        <f>B57/B58</f>
        <v>2.5674717544179244</v>
      </c>
      <c r="C59" s="360">
        <f>EXP(LN(B59)-1.96*E59)</f>
        <v>1.1992654342764701</v>
      </c>
      <c r="D59" s="361">
        <f>EXP(LN(B59)+1.96*E59)</f>
        <v>5.4966240344539123</v>
      </c>
      <c r="E59" s="358">
        <f>SQRT(E57^2+E58^2)</f>
        <v>0.38837368892941476</v>
      </c>
      <c r="F59" s="180"/>
      <c r="H59" s="180"/>
      <c r="I59" s="180"/>
    </row>
    <row r="60" spans="1:10" ht="12" customHeight="1" x14ac:dyDescent="0.2">
      <c r="A60" s="49"/>
      <c r="B60" s="182"/>
      <c r="C60" s="182"/>
      <c r="D60" s="182"/>
      <c r="E60" s="149"/>
      <c r="F60" s="180"/>
      <c r="G60" s="180"/>
      <c r="H60" s="180"/>
      <c r="I60" s="180"/>
    </row>
    <row r="61" spans="1:10" ht="12" customHeight="1" x14ac:dyDescent="0.2">
      <c r="A61" s="522" t="s">
        <v>229</v>
      </c>
      <c r="B61" s="522"/>
      <c r="C61" s="351">
        <v>1</v>
      </c>
      <c r="D61" s="44" t="s">
        <v>22</v>
      </c>
      <c r="E61" s="184">
        <f>(LN(B59)-LN(C61))/E59</f>
        <v>2.427872145919276</v>
      </c>
      <c r="F61" s="44" t="s">
        <v>119</v>
      </c>
      <c r="G61" s="135">
        <f>2*(1-NORMSDIST(ABS(E61)))</f>
        <v>1.5187696298414322E-2</v>
      </c>
      <c r="H61" s="180"/>
      <c r="I61" s="180"/>
    </row>
    <row r="62" spans="1:10" ht="12" customHeight="1" x14ac:dyDescent="0.2">
      <c r="A62" s="24"/>
      <c r="B62" s="24"/>
      <c r="C62" s="252"/>
      <c r="D62" s="24"/>
      <c r="E62" s="180"/>
      <c r="F62" s="180"/>
      <c r="G62" s="180"/>
      <c r="H62" s="180"/>
      <c r="I62" s="180"/>
    </row>
    <row r="63" spans="1:10" ht="12" customHeight="1" x14ac:dyDescent="0.2">
      <c r="A63" s="25" t="s">
        <v>253</v>
      </c>
      <c r="B63" s="24"/>
      <c r="C63" s="252"/>
      <c r="D63" s="24"/>
      <c r="E63" s="25"/>
      <c r="F63" s="24"/>
      <c r="G63" s="24"/>
      <c r="H63" s="24"/>
      <c r="I63" s="24"/>
    </row>
    <row r="64" spans="1:10" ht="12" customHeight="1" x14ac:dyDescent="0.2">
      <c r="A64" s="26" t="s">
        <v>125</v>
      </c>
      <c r="B64" s="26" t="s">
        <v>10</v>
      </c>
      <c r="C64" s="248" t="s">
        <v>11</v>
      </c>
      <c r="D64" s="27" t="s">
        <v>12</v>
      </c>
      <c r="E64" s="173" t="s">
        <v>14</v>
      </c>
      <c r="F64" s="171" t="s">
        <v>4</v>
      </c>
      <c r="G64" s="174" t="s">
        <v>5</v>
      </c>
      <c r="H64" s="239"/>
      <c r="I64" s="211"/>
    </row>
    <row r="65" spans="1:9" ht="12" customHeight="1" x14ac:dyDescent="0.2">
      <c r="A65" s="30" t="s">
        <v>0</v>
      </c>
      <c r="B65" s="214">
        <f>B10+B17+B23+B29+B35+B41</f>
        <v>110</v>
      </c>
      <c r="C65" s="387">
        <f>C10+C17+C23+C29+C35+C41</f>
        <v>2465</v>
      </c>
      <c r="D65" s="190">
        <f>$D$13*B65/C65</f>
        <v>44.624746450304258</v>
      </c>
      <c r="E65" s="216">
        <f>D65/D66</f>
        <v>1.3441927442206152</v>
      </c>
      <c r="F65" s="155"/>
      <c r="G65" s="210">
        <f>EXP(G67)</f>
        <v>1.0432283825548452</v>
      </c>
      <c r="H65" s="94"/>
      <c r="I65" s="251"/>
    </row>
    <row r="66" spans="1:9" ht="12" customHeight="1" x14ac:dyDescent="0.2">
      <c r="A66" s="30">
        <v>0</v>
      </c>
      <c r="B66" s="217">
        <f>B11+B18+B24+B30+B36+B42</f>
        <v>131</v>
      </c>
      <c r="C66" s="388">
        <f>C11+C18+C24+C30+C36+C42</f>
        <v>3946</v>
      </c>
      <c r="D66" s="190">
        <f>$D$13*B66/C66</f>
        <v>33.198175367460721</v>
      </c>
      <c r="E66" s="123"/>
      <c r="F66" s="176"/>
      <c r="G66" s="212">
        <f>EXP(G68)</f>
        <v>1.7319832970709623</v>
      </c>
      <c r="H66" s="24"/>
      <c r="I66" s="24"/>
    </row>
    <row r="67" spans="1:9" ht="12" customHeight="1" x14ac:dyDescent="0.2">
      <c r="A67" s="26" t="s">
        <v>54</v>
      </c>
      <c r="B67" s="26">
        <f>SUM(B65:B66)</f>
        <v>241</v>
      </c>
      <c r="C67" s="245">
        <f>SUM(C65:C66)</f>
        <v>6411</v>
      </c>
      <c r="D67" s="195">
        <f>$D$13*B67/C67</f>
        <v>37.591639369833096</v>
      </c>
      <c r="E67" s="180">
        <f>LN(E65)</f>
        <v>0.29579364269703473</v>
      </c>
      <c r="F67" s="180">
        <f>SQRT(1/B65+1/B66)</f>
        <v>0.12932322636390042</v>
      </c>
      <c r="G67" s="180">
        <f>E67-1.96*F67</f>
        <v>4.2320119023789904E-2</v>
      </c>
      <c r="H67" s="24"/>
      <c r="I67" s="24"/>
    </row>
    <row r="68" spans="1:9" ht="12" customHeight="1" x14ac:dyDescent="0.2">
      <c r="A68" s="203"/>
      <c r="B68" s="204"/>
      <c r="C68" s="253" t="s">
        <v>69</v>
      </c>
      <c r="D68" s="254">
        <f>D13</f>
        <v>1000</v>
      </c>
      <c r="E68" s="234"/>
      <c r="F68" s="234"/>
      <c r="G68" s="180">
        <f>E67+1.96*F67</f>
        <v>0.5492671663702795</v>
      </c>
      <c r="H68" s="24"/>
      <c r="I68" s="24"/>
    </row>
    <row r="69" spans="1:9" x14ac:dyDescent="0.2">
      <c r="C69" s="4"/>
    </row>
    <row r="70" spans="1:9" x14ac:dyDescent="0.2">
      <c r="A70" s="522" t="s">
        <v>277</v>
      </c>
      <c r="B70" s="522"/>
      <c r="C70" s="351">
        <v>1</v>
      </c>
      <c r="D70" s="44" t="s">
        <v>22</v>
      </c>
      <c r="E70" s="184">
        <f>(E67-LN(C70))/F67</f>
        <v>2.2872429880824812</v>
      </c>
      <c r="F70" s="44" t="s">
        <v>119</v>
      </c>
      <c r="G70" s="135">
        <f>2*(1-NORMSDIST(ABS(E70)))</f>
        <v>2.2181644141357815E-2</v>
      </c>
    </row>
  </sheetData>
  <sheetProtection sheet="1" objects="1" scenarios="1" formatCells="0" formatColumns="0"/>
  <mergeCells count="17">
    <mergeCell ref="B21:G21"/>
    <mergeCell ref="B27:G27"/>
    <mergeCell ref="B33:G33"/>
    <mergeCell ref="I1:I2"/>
    <mergeCell ref="A47:B47"/>
    <mergeCell ref="A70:B70"/>
    <mergeCell ref="A55:D55"/>
    <mergeCell ref="C56:D56"/>
    <mergeCell ref="A61:B61"/>
    <mergeCell ref="A54:D54"/>
    <mergeCell ref="A53:B53"/>
    <mergeCell ref="C1:F1"/>
    <mergeCell ref="A5:G5"/>
    <mergeCell ref="B39:G39"/>
    <mergeCell ref="A6:G6"/>
    <mergeCell ref="B8:G8"/>
    <mergeCell ref="B15:G15"/>
  </mergeCells>
  <phoneticPr fontId="0" type="noConversion"/>
  <hyperlinks>
    <hyperlink ref="I1:I2" location="Start!A1" display="Start"/>
  </hyperlinks>
  <pageMargins left="0.75" right="0.75" top="1" bottom="1" header="0.5" footer="0.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T58"/>
  <sheetViews>
    <sheetView topLeftCell="A28" workbookViewId="0">
      <selection activeCell="A36" sqref="A36"/>
    </sheetView>
  </sheetViews>
  <sheetFormatPr defaultRowHeight="12.75" x14ac:dyDescent="0.2"/>
  <cols>
    <col min="1" max="5" width="8.7109375" customWidth="1"/>
    <col min="6" max="6" width="8.7109375" style="9" customWidth="1"/>
    <col min="7" max="9" width="8.7109375" customWidth="1"/>
    <col min="10" max="20" width="9.140625" hidden="1" customWidth="1"/>
  </cols>
  <sheetData>
    <row r="1" spans="1:19" ht="12" customHeight="1" x14ac:dyDescent="0.2">
      <c r="A1" s="7" t="s">
        <v>163</v>
      </c>
      <c r="B1" s="7"/>
      <c r="C1" s="494" t="s">
        <v>164</v>
      </c>
      <c r="D1" s="494"/>
      <c r="E1" s="494"/>
      <c r="F1" s="494"/>
      <c r="G1" s="494"/>
      <c r="I1" s="475" t="s">
        <v>186</v>
      </c>
    </row>
    <row r="2" spans="1:19" ht="12" customHeight="1" x14ac:dyDescent="0.2">
      <c r="A2" s="7"/>
      <c r="B2" s="7"/>
      <c r="C2" s="7"/>
      <c r="D2" s="7"/>
      <c r="E2" s="7"/>
      <c r="F2" s="7"/>
      <c r="G2" s="7"/>
      <c r="I2" s="476"/>
    </row>
    <row r="3" spans="1:19" ht="12" customHeight="1" x14ac:dyDescent="0.2">
      <c r="A3" s="7"/>
      <c r="B3" s="7"/>
    </row>
    <row r="4" spans="1:19" ht="12" customHeight="1" x14ac:dyDescent="0.2">
      <c r="A4" s="7"/>
      <c r="B4" s="7"/>
      <c r="H4" s="15"/>
      <c r="I4" s="15"/>
    </row>
    <row r="5" spans="1:19" ht="12" customHeight="1" x14ac:dyDescent="0.2">
      <c r="A5" s="497" t="s">
        <v>270</v>
      </c>
      <c r="B5" s="498"/>
      <c r="C5" s="498"/>
      <c r="D5" s="498"/>
      <c r="E5" s="498"/>
      <c r="F5" s="498"/>
      <c r="G5" s="498"/>
      <c r="H5" s="498"/>
      <c r="I5" s="499"/>
    </row>
    <row r="6" spans="1:19" ht="12" customHeight="1" x14ac:dyDescent="0.2">
      <c r="A6" s="500" t="s">
        <v>133</v>
      </c>
      <c r="B6" s="501"/>
      <c r="C6" s="501"/>
      <c r="D6" s="501"/>
      <c r="E6" s="501"/>
      <c r="F6" s="501"/>
      <c r="G6" s="501"/>
      <c r="H6" s="501"/>
      <c r="I6" s="502"/>
    </row>
    <row r="7" spans="1:19" ht="12" customHeight="1" x14ac:dyDescent="0.2">
      <c r="A7" s="25"/>
      <c r="B7" s="25"/>
      <c r="C7" s="24"/>
      <c r="D7" s="24"/>
      <c r="E7" s="24"/>
      <c r="F7" s="24"/>
      <c r="G7" s="24"/>
      <c r="H7" s="219"/>
      <c r="I7" s="219"/>
    </row>
    <row r="8" spans="1:19" ht="12" customHeight="1" x14ac:dyDescent="0.2">
      <c r="A8" s="523" t="s">
        <v>135</v>
      </c>
      <c r="B8" s="524"/>
      <c r="C8" s="524"/>
      <c r="D8" s="525"/>
      <c r="E8" s="24"/>
      <c r="F8" s="24"/>
      <c r="G8" s="24"/>
      <c r="H8" s="24"/>
      <c r="I8" s="24"/>
    </row>
    <row r="9" spans="1:19" ht="12" customHeight="1" x14ac:dyDescent="0.2">
      <c r="A9" s="26" t="s">
        <v>125</v>
      </c>
      <c r="B9" s="26" t="s">
        <v>1</v>
      </c>
      <c r="C9" s="28" t="s">
        <v>120</v>
      </c>
      <c r="D9" s="27" t="s">
        <v>54</v>
      </c>
      <c r="E9" s="49" t="s">
        <v>57</v>
      </c>
      <c r="F9" s="175" t="s">
        <v>58</v>
      </c>
      <c r="G9" s="223" t="s">
        <v>3</v>
      </c>
      <c r="H9" s="224" t="s">
        <v>4</v>
      </c>
      <c r="I9" s="225" t="s">
        <v>18</v>
      </c>
      <c r="J9" s="2" t="s">
        <v>29</v>
      </c>
      <c r="K9" s="5" t="s">
        <v>30</v>
      </c>
      <c r="L9" s="5" t="s">
        <v>31</v>
      </c>
      <c r="M9" s="5" t="s">
        <v>32</v>
      </c>
      <c r="N9" s="5" t="s">
        <v>36</v>
      </c>
      <c r="O9" s="5" t="s">
        <v>55</v>
      </c>
      <c r="P9" s="5" t="s">
        <v>52</v>
      </c>
      <c r="Q9" s="5" t="s">
        <v>60</v>
      </c>
      <c r="R9" s="5" t="s">
        <v>59</v>
      </c>
      <c r="S9" s="5" t="s">
        <v>61</v>
      </c>
    </row>
    <row r="10" spans="1:19" ht="12" customHeight="1" x14ac:dyDescent="0.2">
      <c r="A10" s="30" t="s">
        <v>0</v>
      </c>
      <c r="B10" s="153">
        <v>3</v>
      </c>
      <c r="C10" s="154">
        <v>104</v>
      </c>
      <c r="D10" s="50">
        <f>SUM(B10:C10)</f>
        <v>107</v>
      </c>
      <c r="E10" s="220">
        <f>IF(D12&gt;0,B10*C11/D12,"")</f>
        <v>2.7038297872340427</v>
      </c>
      <c r="F10" s="221">
        <f>IF(D12&gt;0,C10*B11/D12,"")</f>
        <v>0.79659574468085104</v>
      </c>
      <c r="G10" s="226">
        <f>IF(F10="","",E10/F10)</f>
        <v>3.3942307692307696</v>
      </c>
      <c r="H10" s="227"/>
      <c r="I10" s="228">
        <f>IF(I12="","",EXP(I12))</f>
        <v>0.90481832300532095</v>
      </c>
      <c r="J10" s="1">
        <f>(B10+C11)/D12</f>
        <v>0.9038297872340425</v>
      </c>
      <c r="K10" s="1">
        <f>(B11+C10)/D12</f>
        <v>9.6170212765957441E-2</v>
      </c>
      <c r="L10">
        <f>E10*J10</f>
        <v>2.4438019013128112</v>
      </c>
      <c r="M10">
        <f>F10*K10</f>
        <v>7.6608782254413754E-2</v>
      </c>
      <c r="N10">
        <f>E10*K10+F10*J10</f>
        <v>0.9800148483476685</v>
      </c>
      <c r="O10" s="17">
        <f>((G12-$G$48)/H12)^2</f>
        <v>2.5614490453722896E-2</v>
      </c>
      <c r="P10" s="18">
        <f>IF(D12&gt;0,1,0)</f>
        <v>1</v>
      </c>
      <c r="Q10" s="6">
        <f>D10*B12/D12</f>
        <v>1.0927659574468085</v>
      </c>
      <c r="R10" s="6">
        <f>B10-Q10</f>
        <v>1.9072340425531915</v>
      </c>
      <c r="S10" s="6">
        <f>B12*C12*D10*D11/D12^2/(D12-1)</f>
        <v>0.98394803109163931</v>
      </c>
    </row>
    <row r="11" spans="1:19" ht="12" customHeight="1" x14ac:dyDescent="0.2">
      <c r="A11" s="30">
        <v>0</v>
      </c>
      <c r="B11" s="160">
        <v>9</v>
      </c>
      <c r="C11" s="161">
        <v>1059</v>
      </c>
      <c r="D11" s="50">
        <f>SUM(B11:C11)</f>
        <v>1068</v>
      </c>
      <c r="E11" s="49"/>
      <c r="F11" s="140"/>
      <c r="G11" s="229"/>
      <c r="H11" s="230"/>
      <c r="I11" s="231">
        <f>IF(I13="","",EXP(I13))</f>
        <v>12.732724594399219</v>
      </c>
      <c r="J11" s="1"/>
      <c r="K11" s="1"/>
      <c r="R11" s="16"/>
    </row>
    <row r="12" spans="1:19" ht="12" customHeight="1" x14ac:dyDescent="0.2">
      <c r="A12" s="26" t="s">
        <v>54</v>
      </c>
      <c r="B12" s="26">
        <f>SUM(B10:B11)</f>
        <v>12</v>
      </c>
      <c r="C12" s="28">
        <f>SUM(C10:C11)</f>
        <v>1163</v>
      </c>
      <c r="D12" s="27">
        <f>SUM(B12:C12)</f>
        <v>1175</v>
      </c>
      <c r="E12" s="49"/>
      <c r="F12" s="180"/>
      <c r="G12" s="232">
        <f>IF(G10="","",LN(G10))</f>
        <v>1.2220771577919243</v>
      </c>
      <c r="H12" s="232">
        <f>IF(D12=0,"",SQRT(1/B10+1/B11+1/C10+1/C11))</f>
        <v>0.67453992922813422</v>
      </c>
      <c r="I12" s="232">
        <f>IF(G12="","",G12-1.96*H12)</f>
        <v>-0.10002110349521875</v>
      </c>
      <c r="J12" s="8"/>
      <c r="K12" s="8"/>
    </row>
    <row r="13" spans="1:19" ht="12" customHeight="1" x14ac:dyDescent="0.2">
      <c r="A13" s="203"/>
      <c r="B13" s="204"/>
      <c r="C13" s="204"/>
      <c r="D13" s="46"/>
      <c r="E13" s="46"/>
      <c r="F13" s="180"/>
      <c r="G13" s="232"/>
      <c r="H13" s="232"/>
      <c r="I13" s="232">
        <f>IF(G12="","",G12+1.96*H12)</f>
        <v>2.5441754190790675</v>
      </c>
      <c r="J13" s="8"/>
      <c r="K13" s="8"/>
    </row>
    <row r="14" spans="1:19" ht="12" customHeight="1" x14ac:dyDescent="0.2">
      <c r="A14" s="523" t="s">
        <v>134</v>
      </c>
      <c r="B14" s="524"/>
      <c r="C14" s="524"/>
      <c r="D14" s="525"/>
      <c r="E14" s="46"/>
      <c r="F14" s="46"/>
      <c r="G14" s="233"/>
      <c r="H14" s="233"/>
      <c r="I14" s="233"/>
      <c r="J14" s="1"/>
      <c r="K14" s="1"/>
    </row>
    <row r="15" spans="1:19" ht="12" customHeight="1" x14ac:dyDescent="0.2">
      <c r="A15" s="26" t="s">
        <v>125</v>
      </c>
      <c r="B15" s="26" t="s">
        <v>1</v>
      </c>
      <c r="C15" s="28" t="s">
        <v>120</v>
      </c>
      <c r="D15" s="27" t="s">
        <v>54</v>
      </c>
      <c r="E15" s="49" t="s">
        <v>57</v>
      </c>
      <c r="F15" s="175" t="s">
        <v>58</v>
      </c>
      <c r="G15" s="223" t="s">
        <v>3</v>
      </c>
      <c r="H15" s="224" t="s">
        <v>4</v>
      </c>
      <c r="I15" s="225" t="s">
        <v>18</v>
      </c>
      <c r="J15" s="2"/>
      <c r="K15" s="5"/>
    </row>
    <row r="16" spans="1:19" ht="12" customHeight="1" x14ac:dyDescent="0.2">
      <c r="A16" s="30" t="s">
        <v>0</v>
      </c>
      <c r="B16" s="153">
        <v>1</v>
      </c>
      <c r="C16" s="154">
        <v>5</v>
      </c>
      <c r="D16" s="50">
        <f>SUM(B16:C16)</f>
        <v>6</v>
      </c>
      <c r="E16" s="220">
        <f>IF(D18&gt;0,B16*C17/D18,"")</f>
        <v>0.90526315789473688</v>
      </c>
      <c r="F16" s="221">
        <f>IF(D18&gt;0,C16*B17/D18,"")</f>
        <v>0.15789473684210525</v>
      </c>
      <c r="G16" s="226">
        <f>IF(F16="","",E16/F16)</f>
        <v>5.7333333333333343</v>
      </c>
      <c r="H16" s="227"/>
      <c r="I16" s="228">
        <f>IF(I18="","",EXP(I18))</f>
        <v>0.5016193505282962</v>
      </c>
      <c r="J16" s="1">
        <f>(B16+C17)/D18</f>
        <v>0.91578947368421049</v>
      </c>
      <c r="K16" s="1">
        <f>(B17+C16)/D18</f>
        <v>8.4210526315789472E-2</v>
      </c>
      <c r="L16">
        <f>E16*J16</f>
        <v>0.8290304709141274</v>
      </c>
      <c r="M16">
        <f>F16*K16</f>
        <v>1.3296398891966758E-2</v>
      </c>
      <c r="N16">
        <f>E16*K16+F16*J16</f>
        <v>0.22083102493074791</v>
      </c>
      <c r="O16" s="17">
        <f>((G18-$G$48)/H18)^2</f>
        <v>0.11215484721465112</v>
      </c>
      <c r="P16" s="18">
        <f>IF(D18&gt;0,1,0)</f>
        <v>1</v>
      </c>
      <c r="Q16" s="6">
        <f>D16*B18/D18</f>
        <v>0.25263157894736843</v>
      </c>
      <c r="R16" s="6">
        <f>B16-Q16</f>
        <v>0.74736842105263157</v>
      </c>
      <c r="S16" s="6">
        <f>B18*C18*D16*D17/D18^2/(D18-1)</f>
        <v>0.22912241409795486</v>
      </c>
    </row>
    <row r="17" spans="1:19" ht="12" customHeight="1" x14ac:dyDescent="0.2">
      <c r="A17" s="30">
        <v>0</v>
      </c>
      <c r="B17" s="160">
        <v>3</v>
      </c>
      <c r="C17" s="161">
        <v>86</v>
      </c>
      <c r="D17" s="50">
        <f>SUM(B17:C17)</f>
        <v>89</v>
      </c>
      <c r="E17" s="49"/>
      <c r="F17" s="140"/>
      <c r="G17" s="229"/>
      <c r="H17" s="230"/>
      <c r="I17" s="231">
        <f>IF(I19="","",EXP(I19))</f>
        <v>65.529990173807846</v>
      </c>
      <c r="J17" s="1"/>
      <c r="K17" s="1"/>
    </row>
    <row r="18" spans="1:19" ht="12" customHeight="1" x14ac:dyDescent="0.2">
      <c r="A18" s="26" t="s">
        <v>54</v>
      </c>
      <c r="B18" s="26">
        <f>SUM(B16:B17)</f>
        <v>4</v>
      </c>
      <c r="C18" s="28">
        <f>SUM(C16:C17)</f>
        <v>91</v>
      </c>
      <c r="D18" s="27">
        <f>SUM(B18:C18)</f>
        <v>95</v>
      </c>
      <c r="E18" s="49"/>
      <c r="F18" s="180"/>
      <c r="G18" s="232">
        <f>IF(G16="","",LN(G16))</f>
        <v>1.7462970951512979</v>
      </c>
      <c r="H18" s="232">
        <f>IF(D18=0,"",SQRT(1/B16+1/B17+1/C16+1/C17))</f>
        <v>1.2429646979339668</v>
      </c>
      <c r="I18" s="232">
        <f>IF(G18="","",G18-1.96*H18)</f>
        <v>-0.68991371279927693</v>
      </c>
      <c r="J18" s="8"/>
      <c r="K18" s="8"/>
    </row>
    <row r="19" spans="1:19" ht="12" customHeight="1" x14ac:dyDescent="0.2">
      <c r="A19" s="203"/>
      <c r="B19" s="204"/>
      <c r="C19" s="204"/>
      <c r="D19" s="46"/>
      <c r="E19" s="46"/>
      <c r="F19" s="180"/>
      <c r="G19" s="232"/>
      <c r="H19" s="232"/>
      <c r="I19" s="232">
        <f>IF(G18="","",G18+1.96*H18)</f>
        <v>4.1825079031018726</v>
      </c>
      <c r="J19" s="8"/>
      <c r="K19" s="8"/>
    </row>
    <row r="20" spans="1:19" ht="12" customHeight="1" x14ac:dyDescent="0.2">
      <c r="A20" s="523"/>
      <c r="B20" s="524"/>
      <c r="C20" s="524"/>
      <c r="D20" s="525"/>
      <c r="E20" s="46"/>
      <c r="F20" s="46"/>
      <c r="G20" s="233"/>
      <c r="H20" s="233"/>
      <c r="I20" s="233"/>
      <c r="J20" s="1"/>
      <c r="K20" s="1"/>
    </row>
    <row r="21" spans="1:19" ht="12" customHeight="1" x14ac:dyDescent="0.2">
      <c r="A21" s="26" t="s">
        <v>125</v>
      </c>
      <c r="B21" s="26" t="s">
        <v>1</v>
      </c>
      <c r="C21" s="28" t="s">
        <v>120</v>
      </c>
      <c r="D21" s="27" t="s">
        <v>54</v>
      </c>
      <c r="E21" s="49" t="s">
        <v>57</v>
      </c>
      <c r="F21" s="175" t="s">
        <v>58</v>
      </c>
      <c r="G21" s="223" t="s">
        <v>3</v>
      </c>
      <c r="H21" s="224" t="s">
        <v>4</v>
      </c>
      <c r="I21" s="225" t="s">
        <v>18</v>
      </c>
      <c r="J21" s="2"/>
      <c r="K21" s="5"/>
    </row>
    <row r="22" spans="1:19" ht="12" customHeight="1" x14ac:dyDescent="0.2">
      <c r="A22" s="30" t="s">
        <v>0</v>
      </c>
      <c r="B22" s="153"/>
      <c r="C22" s="154"/>
      <c r="D22" s="50">
        <f>SUM(B22:C22)</f>
        <v>0</v>
      </c>
      <c r="E22" s="220" t="str">
        <f>IF(D24&gt;0,B22*C23/D24,"")</f>
        <v/>
      </c>
      <c r="F22" s="221" t="str">
        <f>IF(D24&gt;0,C22*B23/D24,"")</f>
        <v/>
      </c>
      <c r="G22" s="226" t="str">
        <f>IF(F22="","",E22/F22)</f>
        <v/>
      </c>
      <c r="H22" s="227"/>
      <c r="I22" s="228" t="str">
        <f>IF(I24="","",EXP(I24))</f>
        <v/>
      </c>
      <c r="J22" s="1" t="e">
        <f>(B22+C23)/D24</f>
        <v>#DIV/0!</v>
      </c>
      <c r="K22" s="1" t="e">
        <f>(B23+C22)/D24</f>
        <v>#DIV/0!</v>
      </c>
      <c r="L22" t="e">
        <f>E22*J22</f>
        <v>#VALUE!</v>
      </c>
      <c r="M22" t="e">
        <f>F22*K22</f>
        <v>#VALUE!</v>
      </c>
      <c r="N22" t="e">
        <f>E22*K22+F22*J22</f>
        <v>#VALUE!</v>
      </c>
      <c r="O22" s="17" t="e">
        <f>((G24-$G$48)/H24)^2</f>
        <v>#VALUE!</v>
      </c>
      <c r="P22" s="18">
        <f>IF(D24&gt;0,1,0)</f>
        <v>0</v>
      </c>
      <c r="Q22" s="6" t="e">
        <f>D22*B24/D24</f>
        <v>#DIV/0!</v>
      </c>
      <c r="R22" s="6" t="e">
        <f>B22-Q22</f>
        <v>#DIV/0!</v>
      </c>
      <c r="S22" s="6" t="e">
        <f>B24*C24*D22*D23/D24^2/(D24-1)</f>
        <v>#DIV/0!</v>
      </c>
    </row>
    <row r="23" spans="1:19" ht="12" customHeight="1" x14ac:dyDescent="0.2">
      <c r="A23" s="30">
        <v>0</v>
      </c>
      <c r="B23" s="160"/>
      <c r="C23" s="161"/>
      <c r="D23" s="50">
        <f>SUM(B23:C23)</f>
        <v>0</v>
      </c>
      <c r="E23" s="49"/>
      <c r="F23" s="140"/>
      <c r="G23" s="229"/>
      <c r="H23" s="230"/>
      <c r="I23" s="231" t="str">
        <f>IF(I25="","",EXP(I25))</f>
        <v/>
      </c>
      <c r="J23" s="1"/>
      <c r="K23" s="1"/>
    </row>
    <row r="24" spans="1:19" ht="12" customHeight="1" x14ac:dyDescent="0.2">
      <c r="A24" s="26" t="s">
        <v>54</v>
      </c>
      <c r="B24" s="26">
        <f>SUM(B22:B23)</f>
        <v>0</v>
      </c>
      <c r="C24" s="28">
        <f>SUM(C22:C23)</f>
        <v>0</v>
      </c>
      <c r="D24" s="27">
        <f>SUM(B24:C24)</f>
        <v>0</v>
      </c>
      <c r="E24" s="49"/>
      <c r="F24" s="180"/>
      <c r="G24" s="232" t="str">
        <f>IF(G22="","",LN(G22))</f>
        <v/>
      </c>
      <c r="H24" s="232" t="str">
        <f>IF(D24=0,"",SQRT(1/B22+1/B23+1/C22+1/C23))</f>
        <v/>
      </c>
      <c r="I24" s="232" t="str">
        <f>IF(G24="","",G24-1.96*H24)</f>
        <v/>
      </c>
      <c r="J24" s="8"/>
      <c r="K24" s="8"/>
    </row>
    <row r="25" spans="1:19" ht="12" customHeight="1" x14ac:dyDescent="0.2">
      <c r="A25" s="203"/>
      <c r="B25" s="204"/>
      <c r="C25" s="204"/>
      <c r="D25" s="46"/>
      <c r="E25" s="46"/>
      <c r="F25" s="180"/>
      <c r="G25" s="232"/>
      <c r="H25" s="232"/>
      <c r="I25" s="232" t="str">
        <f>IF(G24="","",G24+1.96*H24)</f>
        <v/>
      </c>
      <c r="J25" s="8"/>
      <c r="K25" s="8"/>
    </row>
    <row r="26" spans="1:19" ht="12" customHeight="1" x14ac:dyDescent="0.2">
      <c r="A26" s="523"/>
      <c r="B26" s="524"/>
      <c r="C26" s="524"/>
      <c r="D26" s="525"/>
      <c r="E26" s="46"/>
      <c r="F26" s="46"/>
      <c r="G26" s="233"/>
      <c r="H26" s="233"/>
      <c r="I26" s="233"/>
      <c r="J26" s="1"/>
      <c r="K26" s="1"/>
    </row>
    <row r="27" spans="1:19" ht="12" customHeight="1" x14ac:dyDescent="0.2">
      <c r="A27" s="26" t="s">
        <v>125</v>
      </c>
      <c r="B27" s="26" t="s">
        <v>1</v>
      </c>
      <c r="C27" s="28" t="s">
        <v>120</v>
      </c>
      <c r="D27" s="27" t="s">
        <v>54</v>
      </c>
      <c r="E27" s="49" t="s">
        <v>57</v>
      </c>
      <c r="F27" s="175" t="s">
        <v>58</v>
      </c>
      <c r="G27" s="223" t="s">
        <v>3</v>
      </c>
      <c r="H27" s="224" t="s">
        <v>4</v>
      </c>
      <c r="I27" s="225" t="s">
        <v>18</v>
      </c>
      <c r="J27" s="2"/>
      <c r="K27" s="5"/>
    </row>
    <row r="28" spans="1:19" ht="12" customHeight="1" x14ac:dyDescent="0.2">
      <c r="A28" s="30" t="s">
        <v>0</v>
      </c>
      <c r="B28" s="153"/>
      <c r="C28" s="154"/>
      <c r="D28" s="50">
        <f>SUM(B28:C28)</f>
        <v>0</v>
      </c>
      <c r="E28" s="220" t="str">
        <f>IF(D30&gt;0,B28*C29/D30,"")</f>
        <v/>
      </c>
      <c r="F28" s="221" t="str">
        <f>IF(D30&gt;0,C28*B29/D30,"")</f>
        <v/>
      </c>
      <c r="G28" s="226" t="str">
        <f>IF(F28="","",E28/F28)</f>
        <v/>
      </c>
      <c r="H28" s="227"/>
      <c r="I28" s="228" t="str">
        <f>IF(I30="","",EXP(I30))</f>
        <v/>
      </c>
      <c r="J28" s="1" t="e">
        <f>(B28+C29)/D30</f>
        <v>#DIV/0!</v>
      </c>
      <c r="K28" s="1" t="e">
        <f>(B29+C28)/D30</f>
        <v>#DIV/0!</v>
      </c>
      <c r="L28" t="e">
        <f>E28*J28</f>
        <v>#VALUE!</v>
      </c>
      <c r="M28" t="e">
        <f>F28*K28</f>
        <v>#VALUE!</v>
      </c>
      <c r="N28" t="e">
        <f>E28*K28+F28*J28</f>
        <v>#VALUE!</v>
      </c>
      <c r="O28" s="17" t="e">
        <f>((G30-$G$48)/H30)^2</f>
        <v>#VALUE!</v>
      </c>
      <c r="P28" s="18">
        <f>IF(D30&gt;0,1,0)</f>
        <v>0</v>
      </c>
      <c r="Q28" s="6" t="e">
        <f>D28*B30/D30</f>
        <v>#DIV/0!</v>
      </c>
      <c r="R28" s="6" t="e">
        <f>B28-Q28</f>
        <v>#DIV/0!</v>
      </c>
      <c r="S28" s="6" t="e">
        <f>B30*C30*D28*D29/D30^2/(D30-1)</f>
        <v>#DIV/0!</v>
      </c>
    </row>
    <row r="29" spans="1:19" ht="12" customHeight="1" x14ac:dyDescent="0.2">
      <c r="A29" s="30">
        <v>0</v>
      </c>
      <c r="B29" s="160"/>
      <c r="C29" s="161"/>
      <c r="D29" s="50">
        <f>SUM(B29:C29)</f>
        <v>0</v>
      </c>
      <c r="E29" s="49"/>
      <c r="F29" s="140"/>
      <c r="G29" s="229"/>
      <c r="H29" s="230"/>
      <c r="I29" s="231" t="str">
        <f>IF(I31="","",EXP(I31))</f>
        <v/>
      </c>
      <c r="J29" s="1"/>
      <c r="K29" s="1"/>
    </row>
    <row r="30" spans="1:19" ht="12" customHeight="1" x14ac:dyDescent="0.2">
      <c r="A30" s="26" t="s">
        <v>54</v>
      </c>
      <c r="B30" s="26">
        <f>SUM(B28:B29)</f>
        <v>0</v>
      </c>
      <c r="C30" s="28">
        <f>SUM(C28:C29)</f>
        <v>0</v>
      </c>
      <c r="D30" s="27">
        <f>SUM(B30:C30)</f>
        <v>0</v>
      </c>
      <c r="E30" s="49"/>
      <c r="F30" s="180"/>
      <c r="G30" s="232" t="str">
        <f>IF(G28="","",LN(G28))</f>
        <v/>
      </c>
      <c r="H30" s="232" t="str">
        <f>IF(D30=0,"",SQRT(1/B28+1/B29+1/C28+1/C29))</f>
        <v/>
      </c>
      <c r="I30" s="232" t="str">
        <f>IF(G30="","",G30-1.96*H30)</f>
        <v/>
      </c>
      <c r="J30" s="8"/>
      <c r="K30" s="8"/>
    </row>
    <row r="31" spans="1:19" ht="12" customHeight="1" x14ac:dyDescent="0.2">
      <c r="A31" s="203"/>
      <c r="B31" s="204"/>
      <c r="C31" s="204"/>
      <c r="D31" s="46"/>
      <c r="E31" s="46"/>
      <c r="F31" s="180"/>
      <c r="G31" s="232"/>
      <c r="H31" s="232"/>
      <c r="I31" s="232" t="str">
        <f>IF(G30="","",G30+1.96*H30)</f>
        <v/>
      </c>
      <c r="J31" s="8"/>
      <c r="K31" s="8"/>
    </row>
    <row r="32" spans="1:19" ht="12" customHeight="1" x14ac:dyDescent="0.2">
      <c r="A32" s="523"/>
      <c r="B32" s="524"/>
      <c r="C32" s="524"/>
      <c r="D32" s="525"/>
      <c r="E32" s="46"/>
      <c r="F32" s="46"/>
      <c r="G32" s="233"/>
      <c r="H32" s="233"/>
      <c r="I32" s="233"/>
      <c r="J32" s="1"/>
      <c r="K32" s="1"/>
    </row>
    <row r="33" spans="1:20" ht="12" customHeight="1" x14ac:dyDescent="0.2">
      <c r="A33" s="26" t="s">
        <v>125</v>
      </c>
      <c r="B33" s="26" t="s">
        <v>1</v>
      </c>
      <c r="C33" s="28" t="s">
        <v>120</v>
      </c>
      <c r="D33" s="27" t="s">
        <v>54</v>
      </c>
      <c r="E33" s="49" t="s">
        <v>57</v>
      </c>
      <c r="F33" s="175" t="s">
        <v>58</v>
      </c>
      <c r="G33" s="223" t="s">
        <v>3</v>
      </c>
      <c r="H33" s="224" t="s">
        <v>4</v>
      </c>
      <c r="I33" s="225" t="s">
        <v>18</v>
      </c>
      <c r="J33" s="2"/>
      <c r="K33" s="5"/>
    </row>
    <row r="34" spans="1:20" ht="12" customHeight="1" x14ac:dyDescent="0.2">
      <c r="A34" s="30" t="s">
        <v>0</v>
      </c>
      <c r="B34" s="153"/>
      <c r="C34" s="154"/>
      <c r="D34" s="50">
        <f>SUM(B34:C34)</f>
        <v>0</v>
      </c>
      <c r="E34" s="220" t="str">
        <f>IF(D36&gt;0,B34*C35/D36,"")</f>
        <v/>
      </c>
      <c r="F34" s="221" t="str">
        <f>IF(D36&gt;0,C34*B35/D36,"")</f>
        <v/>
      </c>
      <c r="G34" s="226" t="str">
        <f>IF(F34="","",E34/F34)</f>
        <v/>
      </c>
      <c r="H34" s="227"/>
      <c r="I34" s="228" t="str">
        <f>IF(I36="","",EXP(I36))</f>
        <v/>
      </c>
      <c r="J34" s="1" t="e">
        <f>(B34+C35)/D36</f>
        <v>#DIV/0!</v>
      </c>
      <c r="K34" s="1" t="e">
        <f>(B35+C34)/D36</f>
        <v>#DIV/0!</v>
      </c>
      <c r="L34" t="e">
        <f>E34*J34</f>
        <v>#VALUE!</v>
      </c>
      <c r="M34" t="e">
        <f>F34*K34</f>
        <v>#VALUE!</v>
      </c>
      <c r="N34" t="e">
        <f>E34*K34+F34*J34</f>
        <v>#VALUE!</v>
      </c>
      <c r="O34" s="17" t="e">
        <f>((G36-$G$48)/H36)^2</f>
        <v>#VALUE!</v>
      </c>
      <c r="P34" s="18">
        <f>IF(D36&gt;0,1,0)</f>
        <v>0</v>
      </c>
      <c r="Q34" s="6" t="e">
        <f>D34*B36/D36</f>
        <v>#DIV/0!</v>
      </c>
      <c r="R34" s="6" t="e">
        <f>B34-Q34</f>
        <v>#DIV/0!</v>
      </c>
      <c r="S34" s="6" t="e">
        <f>B36*C36*D34*D35/D36^2/(D36-1)</f>
        <v>#DIV/0!</v>
      </c>
    </row>
    <row r="35" spans="1:20" ht="12" customHeight="1" x14ac:dyDescent="0.2">
      <c r="A35" s="30">
        <v>0</v>
      </c>
      <c r="B35" s="160"/>
      <c r="C35" s="161"/>
      <c r="D35" s="50">
        <f>SUM(B35:C35)</f>
        <v>0</v>
      </c>
      <c r="E35" s="49"/>
      <c r="F35" s="140"/>
      <c r="G35" s="229"/>
      <c r="H35" s="230"/>
      <c r="I35" s="231" t="str">
        <f>IF(I37="","",EXP(I37))</f>
        <v/>
      </c>
      <c r="J35" s="1"/>
      <c r="K35" s="1"/>
    </row>
    <row r="36" spans="1:20" ht="12" customHeight="1" x14ac:dyDescent="0.2">
      <c r="A36" s="26" t="s">
        <v>54</v>
      </c>
      <c r="B36" s="26">
        <f>SUM(B34:B35)</f>
        <v>0</v>
      </c>
      <c r="C36" s="28">
        <f>SUM(C34:C35)</f>
        <v>0</v>
      </c>
      <c r="D36" s="27">
        <f>SUM(B36:C36)</f>
        <v>0</v>
      </c>
      <c r="E36" s="49"/>
      <c r="F36" s="180"/>
      <c r="G36" s="232" t="str">
        <f>IF(G34="","",LN(G34))</f>
        <v/>
      </c>
      <c r="H36" s="232" t="str">
        <f>IF(D36=0,"",SQRT(1/B34+1/B35+1/C34+1/C35))</f>
        <v/>
      </c>
      <c r="I36" s="232" t="str">
        <f>IF(G36="","",G36-1.96*H36)</f>
        <v/>
      </c>
      <c r="J36" s="8"/>
      <c r="K36" s="8"/>
    </row>
    <row r="37" spans="1:20" ht="12" customHeight="1" x14ac:dyDescent="0.2">
      <c r="A37" s="203"/>
      <c r="B37" s="204"/>
      <c r="C37" s="204"/>
      <c r="D37" s="46"/>
      <c r="E37" s="46"/>
      <c r="F37" s="180"/>
      <c r="G37" s="232"/>
      <c r="H37" s="232"/>
      <c r="I37" s="232" t="str">
        <f>IF(G36="","",G36+1.96*H36)</f>
        <v/>
      </c>
      <c r="J37" s="8"/>
      <c r="K37" s="8"/>
    </row>
    <row r="38" spans="1:20" ht="12" customHeight="1" x14ac:dyDescent="0.2">
      <c r="A38" s="523"/>
      <c r="B38" s="524"/>
      <c r="C38" s="524"/>
      <c r="D38" s="525"/>
      <c r="E38" s="46"/>
      <c r="F38" s="46"/>
      <c r="G38" s="233"/>
      <c r="H38" s="233"/>
      <c r="I38" s="233"/>
      <c r="J38" s="1"/>
      <c r="K38" s="1"/>
    </row>
    <row r="39" spans="1:20" ht="12" customHeight="1" x14ac:dyDescent="0.2">
      <c r="A39" s="26" t="s">
        <v>125</v>
      </c>
      <c r="B39" s="26" t="s">
        <v>1</v>
      </c>
      <c r="C39" s="28" t="s">
        <v>120</v>
      </c>
      <c r="D39" s="27" t="s">
        <v>54</v>
      </c>
      <c r="E39" s="49" t="s">
        <v>57</v>
      </c>
      <c r="F39" s="175" t="s">
        <v>58</v>
      </c>
      <c r="G39" s="223" t="s">
        <v>3</v>
      </c>
      <c r="H39" s="224" t="s">
        <v>4</v>
      </c>
      <c r="I39" s="225" t="s">
        <v>18</v>
      </c>
      <c r="J39" s="2"/>
      <c r="K39" s="5"/>
    </row>
    <row r="40" spans="1:20" ht="12" customHeight="1" x14ac:dyDescent="0.2">
      <c r="A40" s="30" t="s">
        <v>0</v>
      </c>
      <c r="B40" s="153"/>
      <c r="C40" s="154"/>
      <c r="D40" s="50">
        <f>SUM(B40:C40)</f>
        <v>0</v>
      </c>
      <c r="E40" s="220" t="str">
        <f>IF(D42&gt;0,B40*C41/D42,"")</f>
        <v/>
      </c>
      <c r="F40" s="221" t="str">
        <f>IF(D42&gt;0,C40*B41/D42,"")</f>
        <v/>
      </c>
      <c r="G40" s="226" t="str">
        <f>IF(F40="","",E40/F40)</f>
        <v/>
      </c>
      <c r="H40" s="227"/>
      <c r="I40" s="228" t="str">
        <f>IF(I42="","",EXP(I42))</f>
        <v/>
      </c>
      <c r="J40" s="1" t="e">
        <f>(B40+C41)/D42</f>
        <v>#DIV/0!</v>
      </c>
      <c r="K40" s="1" t="e">
        <f>(B41+C40)/D42</f>
        <v>#DIV/0!</v>
      </c>
      <c r="L40" t="e">
        <f>E40*J40</f>
        <v>#VALUE!</v>
      </c>
      <c r="M40" t="e">
        <f>F40*K40</f>
        <v>#VALUE!</v>
      </c>
      <c r="N40" t="e">
        <f>E40*K40+F40*J40</f>
        <v>#VALUE!</v>
      </c>
      <c r="O40" s="17" t="e">
        <f>((G42-$G$48)/H42)^2</f>
        <v>#VALUE!</v>
      </c>
      <c r="P40" s="18">
        <f>IF(D42&gt;0,1,0)</f>
        <v>0</v>
      </c>
      <c r="Q40" s="6" t="e">
        <f>D40*B42/D42</f>
        <v>#DIV/0!</v>
      </c>
      <c r="R40" s="6" t="e">
        <f>B40-Q40</f>
        <v>#DIV/0!</v>
      </c>
      <c r="S40" s="6" t="e">
        <f>B42*C42*D40*D41/D42^2/(D42-1)</f>
        <v>#DIV/0!</v>
      </c>
    </row>
    <row r="41" spans="1:20" ht="12" customHeight="1" x14ac:dyDescent="0.2">
      <c r="A41" s="30">
        <v>0</v>
      </c>
      <c r="B41" s="160"/>
      <c r="C41" s="161"/>
      <c r="D41" s="50">
        <f>SUM(B41:C41)</f>
        <v>0</v>
      </c>
      <c r="E41" s="49"/>
      <c r="F41" s="140"/>
      <c r="G41" s="229"/>
      <c r="H41" s="230"/>
      <c r="I41" s="231" t="str">
        <f>IF(I44="","",EXP(I44))</f>
        <v/>
      </c>
      <c r="J41" s="1"/>
      <c r="K41" s="1"/>
    </row>
    <row r="42" spans="1:20" ht="12" customHeight="1" x14ac:dyDescent="0.2">
      <c r="A42" s="26" t="s">
        <v>54</v>
      </c>
      <c r="B42" s="26">
        <f>SUM(B40:B41)</f>
        <v>0</v>
      </c>
      <c r="C42" s="28">
        <f>SUM(C40:C41)</f>
        <v>0</v>
      </c>
      <c r="D42" s="27">
        <f>SUM(B42:C42)</f>
        <v>0</v>
      </c>
      <c r="E42" s="49"/>
      <c r="F42" s="180"/>
      <c r="G42" s="180" t="str">
        <f>IF(G40="","",LN(G40))</f>
        <v/>
      </c>
      <c r="H42" s="180" t="str">
        <f>IF(D42=0,"",SQRT(1/B40+1/B41+1/C40+1/C41))</f>
        <v/>
      </c>
      <c r="I42" s="180" t="str">
        <f>IF(G42="","",G42-1.96*H42)</f>
        <v/>
      </c>
      <c r="J42" s="8"/>
      <c r="K42" s="8"/>
    </row>
    <row r="43" spans="1:20" ht="12" customHeight="1" x14ac:dyDescent="0.2">
      <c r="A43" s="49"/>
      <c r="B43" s="49"/>
      <c r="C43" s="49"/>
      <c r="D43" s="49"/>
      <c r="E43" s="49"/>
      <c r="F43" s="180"/>
      <c r="G43" s="180"/>
      <c r="H43" s="180"/>
      <c r="I43" s="180" t="str">
        <f>IF(G42="","",G42+1.96*H42)</f>
        <v/>
      </c>
      <c r="J43" s="8"/>
      <c r="K43" s="8"/>
    </row>
    <row r="44" spans="1:20" ht="12" customHeight="1" x14ac:dyDescent="0.2">
      <c r="A44" s="205" t="s">
        <v>63</v>
      </c>
      <c r="B44" s="208"/>
      <c r="C44" s="208"/>
      <c r="D44" s="46"/>
      <c r="E44" s="46"/>
      <c r="F44" s="180"/>
      <c r="G44" s="205" t="s">
        <v>26</v>
      </c>
      <c r="H44" s="180"/>
      <c r="I44" s="180" t="str">
        <f>IF(G42="","",G42+1.96*H42)</f>
        <v/>
      </c>
      <c r="J44" s="8"/>
      <c r="K44" s="8"/>
    </row>
    <row r="45" spans="1:20" ht="12" customHeight="1" x14ac:dyDescent="0.2">
      <c r="A45" s="27" t="s">
        <v>15</v>
      </c>
      <c r="B45" s="213" t="s">
        <v>52</v>
      </c>
      <c r="C45" s="142" t="s">
        <v>50</v>
      </c>
      <c r="D45" s="206"/>
      <c r="E45" s="24"/>
      <c r="F45" s="24"/>
      <c r="G45" s="224" t="s">
        <v>3</v>
      </c>
      <c r="H45" s="225" t="s">
        <v>4</v>
      </c>
      <c r="I45" s="225" t="s">
        <v>18</v>
      </c>
      <c r="J45" s="2" t="s">
        <v>29</v>
      </c>
      <c r="K45" s="5" t="s">
        <v>30</v>
      </c>
      <c r="L45" s="5" t="s">
        <v>31</v>
      </c>
      <c r="M45" s="5" t="s">
        <v>32</v>
      </c>
      <c r="N45" s="5" t="s">
        <v>36</v>
      </c>
      <c r="O45" s="5" t="s">
        <v>55</v>
      </c>
      <c r="P45" s="5" t="s">
        <v>62</v>
      </c>
      <c r="Q45" s="5" t="s">
        <v>60</v>
      </c>
      <c r="R45" s="5" t="s">
        <v>59</v>
      </c>
      <c r="S45" s="5" t="s">
        <v>61</v>
      </c>
      <c r="T45" s="5" t="s">
        <v>64</v>
      </c>
    </row>
    <row r="46" spans="1:20" ht="12" customHeight="1" x14ac:dyDescent="0.2">
      <c r="A46" s="163">
        <f>R46^2/S46</f>
        <v>5.809154998150766</v>
      </c>
      <c r="B46" s="27">
        <v>1</v>
      </c>
      <c r="C46" s="82">
        <f>CHIDIST(A46,B46)</f>
        <v>1.5942953041247706E-2</v>
      </c>
      <c r="D46" s="143"/>
      <c r="E46" s="204">
        <f>SUMIF(E10:E40,"&gt;0")</f>
        <v>3.6090929451287797</v>
      </c>
      <c r="F46" s="204">
        <f>SUMIF(F10:F40,"&gt;0")</f>
        <v>0.95449048152295624</v>
      </c>
      <c r="G46" s="209">
        <f>E46/F46</f>
        <v>3.7811722746257455</v>
      </c>
      <c r="H46" s="157"/>
      <c r="I46" s="210">
        <f>EXP(I48)</f>
        <v>1.1873150002610298</v>
      </c>
      <c r="J46" s="4">
        <f t="shared" ref="J46:S46" si="0">SUMIF(J10:J40,"&gt;0")</f>
        <v>1.8196192609182531</v>
      </c>
      <c r="K46" s="4">
        <f t="shared" si="0"/>
        <v>0.1803807390817469</v>
      </c>
      <c r="L46" s="4">
        <f t="shared" si="0"/>
        <v>3.2728323722269383</v>
      </c>
      <c r="M46" s="4">
        <f t="shared" si="0"/>
        <v>8.9905181146380519E-2</v>
      </c>
      <c r="N46" s="4">
        <f t="shared" si="0"/>
        <v>1.2008458732784164</v>
      </c>
      <c r="O46" s="4">
        <f t="shared" si="0"/>
        <v>0.13776933766837401</v>
      </c>
      <c r="P46" s="18">
        <f t="shared" si="0"/>
        <v>2</v>
      </c>
      <c r="Q46" s="6">
        <f t="shared" si="0"/>
        <v>1.3453975363941768</v>
      </c>
      <c r="R46" s="6">
        <f>SUMIF(R10:R40,"&lt;0") + SUMIF(R10:R40,"&gt;0")</f>
        <v>2.6546024636058232</v>
      </c>
      <c r="S46" s="6">
        <f t="shared" si="0"/>
        <v>1.2130704451895942</v>
      </c>
      <c r="T46" s="6">
        <f>SQRT(S46/(E46*F46))</f>
        <v>0.59341453098506458</v>
      </c>
    </row>
    <row r="47" spans="1:20" ht="12" customHeight="1" x14ac:dyDescent="0.2">
      <c r="A47" s="45"/>
      <c r="B47" s="143"/>
      <c r="C47" s="24"/>
      <c r="D47" s="49"/>
      <c r="E47" s="49"/>
      <c r="F47" s="24"/>
      <c r="G47" s="176"/>
      <c r="H47" s="178"/>
      <c r="I47" s="212">
        <f>EXP(I49)</f>
        <v>12.041677033689627</v>
      </c>
      <c r="J47" s="1" t="s">
        <v>33</v>
      </c>
      <c r="K47" s="1" t="s">
        <v>34</v>
      </c>
      <c r="L47" s="1" t="s">
        <v>35</v>
      </c>
    </row>
    <row r="48" spans="1:20" ht="12" customHeight="1" x14ac:dyDescent="0.2">
      <c r="A48" s="25" t="s">
        <v>51</v>
      </c>
      <c r="B48" s="24"/>
      <c r="C48" s="24"/>
      <c r="D48" s="46"/>
      <c r="E48" s="46"/>
      <c r="F48" s="24"/>
      <c r="G48" s="180">
        <f>LN(G46)</f>
        <v>1.3300340871148708</v>
      </c>
      <c r="H48" s="180">
        <f>SQRT(SUM(J48:L48))</f>
        <v>0.59098960794820787</v>
      </c>
      <c r="I48" s="180">
        <f>G48-1.96*H48</f>
        <v>0.17169445553638329</v>
      </c>
      <c r="J48" s="8">
        <f>L46/2/E46^2</f>
        <v>0.12563123623189051</v>
      </c>
      <c r="K48" s="8">
        <f>N46/(2*E46*F46)</f>
        <v>0.17429607442651926</v>
      </c>
      <c r="L48" s="19">
        <f>M46/2/F46^2</f>
        <v>4.9341406044366647E-2</v>
      </c>
    </row>
    <row r="49" spans="1:11" ht="12" customHeight="1" x14ac:dyDescent="0.2">
      <c r="A49" s="118" t="s">
        <v>53</v>
      </c>
      <c r="B49" s="118" t="s">
        <v>52</v>
      </c>
      <c r="C49" s="118" t="s">
        <v>50</v>
      </c>
      <c r="D49" s="46"/>
      <c r="E49" s="46"/>
      <c r="F49" s="180"/>
      <c r="G49" s="180"/>
      <c r="H49" s="180"/>
      <c r="I49" s="180">
        <f>G48+1.96*H48</f>
        <v>2.4883737186933583</v>
      </c>
      <c r="J49" s="8"/>
      <c r="K49" s="8"/>
    </row>
    <row r="50" spans="1:11" ht="12" customHeight="1" x14ac:dyDescent="0.2">
      <c r="A50" s="163">
        <f>O46</f>
        <v>0.13776933766837401</v>
      </c>
      <c r="B50" s="118">
        <f>P46-1</f>
        <v>1</v>
      </c>
      <c r="C50" s="82">
        <f>CHIDIST(A50,B50)</f>
        <v>0.71050874032774947</v>
      </c>
      <c r="D50" s="222"/>
      <c r="E50" s="44"/>
      <c r="F50" s="184"/>
      <c r="G50" s="180"/>
      <c r="H50" s="180"/>
      <c r="I50" s="180"/>
      <c r="J50" s="8"/>
      <c r="K50" s="8"/>
    </row>
    <row r="51" spans="1:11" ht="12" customHeight="1" x14ac:dyDescent="0.2">
      <c r="A51" s="24"/>
      <c r="B51" s="24"/>
      <c r="C51" s="24"/>
      <c r="D51" s="222"/>
      <c r="E51" s="44"/>
      <c r="F51" s="184"/>
      <c r="G51" s="180"/>
      <c r="H51" s="180"/>
      <c r="I51" s="180"/>
      <c r="J51" s="8"/>
      <c r="K51" s="8"/>
    </row>
    <row r="52" spans="1:11" ht="12" customHeight="1" x14ac:dyDescent="0.2">
      <c r="A52" s="25" t="s">
        <v>54</v>
      </c>
      <c r="B52" s="24"/>
      <c r="C52" s="24"/>
      <c r="D52" s="46"/>
      <c r="E52" s="46"/>
      <c r="F52" s="46"/>
      <c r="G52" s="143" t="s">
        <v>56</v>
      </c>
      <c r="H52" s="46"/>
      <c r="I52" s="46"/>
      <c r="J52" s="1"/>
      <c r="K52" s="1"/>
    </row>
    <row r="53" spans="1:11" ht="12" customHeight="1" x14ac:dyDescent="0.2">
      <c r="A53" s="26" t="s">
        <v>125</v>
      </c>
      <c r="B53" s="26" t="s">
        <v>1</v>
      </c>
      <c r="C53" s="28" t="s">
        <v>120</v>
      </c>
      <c r="D53" s="27" t="s">
        <v>54</v>
      </c>
      <c r="E53" s="49" t="s">
        <v>57</v>
      </c>
      <c r="F53" s="175" t="s">
        <v>58</v>
      </c>
      <c r="G53" s="223" t="s">
        <v>3</v>
      </c>
      <c r="H53" s="224" t="s">
        <v>4</v>
      </c>
      <c r="I53" s="225" t="s">
        <v>18</v>
      </c>
      <c r="J53" s="1"/>
      <c r="K53" s="1"/>
    </row>
    <row r="54" spans="1:11" ht="12" customHeight="1" x14ac:dyDescent="0.2">
      <c r="A54" s="30" t="s">
        <v>0</v>
      </c>
      <c r="B54" s="214">
        <f>SUM(B10,B16,B22,B28,B34)</f>
        <v>4</v>
      </c>
      <c r="C54" s="215">
        <f>SUM(C10,C16,C22,C28,C34)</f>
        <v>109</v>
      </c>
      <c r="D54" s="50">
        <f>SUM(B54:C54)</f>
        <v>113</v>
      </c>
      <c r="E54" s="208">
        <f>B54*C55/D56</f>
        <v>3.606299212598425</v>
      </c>
      <c r="F54" s="204">
        <f>C54*B55/D56</f>
        <v>1.0299212598425196</v>
      </c>
      <c r="G54" s="216">
        <f>E54/F54</f>
        <v>3.5015290519877675</v>
      </c>
      <c r="H54" s="155"/>
      <c r="I54" s="210">
        <f>EXP(I56)</f>
        <v>1.1103383823185713</v>
      </c>
      <c r="J54" s="1"/>
      <c r="K54" s="1"/>
    </row>
    <row r="55" spans="1:11" ht="12" customHeight="1" x14ac:dyDescent="0.2">
      <c r="A55" s="30">
        <v>0</v>
      </c>
      <c r="B55" s="217">
        <f>SUM(B11,B17,B23,B29,B35)</f>
        <v>12</v>
      </c>
      <c r="C55" s="218">
        <f>SUM(C11,C17,C23,C29,C35)</f>
        <v>1145</v>
      </c>
      <c r="D55" s="50">
        <f>SUM(B55:C55)</f>
        <v>1157</v>
      </c>
      <c r="E55" s="49"/>
      <c r="F55" s="140"/>
      <c r="G55" s="123"/>
      <c r="H55" s="176"/>
      <c r="I55" s="212">
        <f>EXP(I57)</f>
        <v>11.042314574690248</v>
      </c>
      <c r="J55" s="1"/>
      <c r="K55" s="1"/>
    </row>
    <row r="56" spans="1:11" ht="12" customHeight="1" x14ac:dyDescent="0.2">
      <c r="A56" s="26" t="s">
        <v>54</v>
      </c>
      <c r="B56" s="26">
        <f>SUM(B54:B55)</f>
        <v>16</v>
      </c>
      <c r="C56" s="28">
        <f>SUM(C54:C55)</f>
        <v>1254</v>
      </c>
      <c r="D56" s="27">
        <f>SUM(B56:C56)</f>
        <v>1270</v>
      </c>
      <c r="E56" s="49"/>
      <c r="F56" s="180"/>
      <c r="G56" s="180">
        <f>LN(G54)</f>
        <v>1.2531997450910866</v>
      </c>
      <c r="H56" s="180">
        <f>SQRT(1/B54+1/B55+1/C54+1/C55)</f>
        <v>0.58598720780009672</v>
      </c>
      <c r="I56" s="180">
        <f>G56-1.96*H56</f>
        <v>0.10466481780289705</v>
      </c>
      <c r="J56" s="1"/>
      <c r="K56" s="1"/>
    </row>
    <row r="57" spans="1:11" ht="12" customHeight="1" x14ac:dyDescent="0.2">
      <c r="A57" s="203"/>
      <c r="B57" s="204"/>
      <c r="C57" s="204"/>
      <c r="D57" s="46"/>
      <c r="E57" s="46"/>
      <c r="F57" s="180"/>
      <c r="G57" s="180"/>
      <c r="H57" s="180"/>
      <c r="I57" s="180">
        <f>G56+1.96*H56</f>
        <v>2.4017346723792761</v>
      </c>
      <c r="J57" s="1"/>
      <c r="K57" s="1"/>
    </row>
    <row r="58" spans="1:11" x14ac:dyDescent="0.2">
      <c r="A58" s="3"/>
      <c r="B58" s="4"/>
      <c r="C58" s="4"/>
      <c r="D58" s="1"/>
      <c r="E58" s="1"/>
      <c r="F58" s="8"/>
      <c r="G58" s="8"/>
      <c r="H58" s="8"/>
      <c r="I58" s="8"/>
      <c r="J58" s="1"/>
      <c r="K58" s="1"/>
    </row>
  </sheetData>
  <sheetProtection sheet="1" objects="1" scenarios="1" formatCells="0" formatColumns="0"/>
  <mergeCells count="10">
    <mergeCell ref="C1:G1"/>
    <mergeCell ref="A20:D20"/>
    <mergeCell ref="A26:D26"/>
    <mergeCell ref="I1:I2"/>
    <mergeCell ref="A32:D32"/>
    <mergeCell ref="A38:D38"/>
    <mergeCell ref="A5:I5"/>
    <mergeCell ref="A6:I6"/>
    <mergeCell ref="A8:D8"/>
    <mergeCell ref="A14:D14"/>
  </mergeCells>
  <phoneticPr fontId="0" type="noConversion"/>
  <hyperlinks>
    <hyperlink ref="I1:I2" location="Start!A1" display="Start"/>
  </hyperlinks>
  <pageMargins left="0.74803149606299213" right="0.74803149606299213" top="0.98425196850393704" bottom="0.78740157480314965" header="0.51181102362204722" footer="0.51181102362204722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topLeftCell="A10" workbookViewId="0">
      <selection activeCell="C50" sqref="C50:F50"/>
    </sheetView>
  </sheetViews>
  <sheetFormatPr defaultRowHeight="12.75" x14ac:dyDescent="0.2"/>
  <cols>
    <col min="1" max="1" width="5.28515625" customWidth="1"/>
    <col min="2" max="2" width="19.7109375" customWidth="1"/>
    <col min="3" max="7" width="8.85546875" customWidth="1"/>
  </cols>
  <sheetData>
    <row r="1" spans="1:9" x14ac:dyDescent="0.2">
      <c r="B1" s="7" t="s">
        <v>175</v>
      </c>
      <c r="C1" s="494" t="s">
        <v>167</v>
      </c>
      <c r="D1" s="494"/>
      <c r="E1" s="494"/>
      <c r="F1" s="531"/>
      <c r="G1" s="475" t="s">
        <v>186</v>
      </c>
      <c r="H1" s="7"/>
      <c r="I1" s="7"/>
    </row>
    <row r="2" spans="1:9" x14ac:dyDescent="0.2">
      <c r="C2" s="494" t="s">
        <v>216</v>
      </c>
      <c r="D2" s="494"/>
      <c r="E2" s="494"/>
      <c r="F2" s="531"/>
      <c r="G2" s="476"/>
      <c r="H2" s="7"/>
      <c r="I2" s="7"/>
    </row>
    <row r="3" spans="1:9" x14ac:dyDescent="0.2">
      <c r="A3" s="24"/>
      <c r="B3" s="24"/>
      <c r="C3" s="24"/>
      <c r="D3" s="25"/>
      <c r="E3" s="25"/>
      <c r="F3" s="25"/>
      <c r="G3" s="25"/>
      <c r="H3" s="25"/>
      <c r="I3" s="25"/>
    </row>
    <row r="4" spans="1:9" x14ac:dyDescent="0.2">
      <c r="A4" s="24"/>
      <c r="B4" s="24"/>
      <c r="C4" s="24"/>
      <c r="D4" s="25"/>
      <c r="E4" s="25"/>
      <c r="F4" s="25"/>
      <c r="G4" s="24"/>
      <c r="H4" s="24"/>
      <c r="I4" s="25"/>
    </row>
    <row r="5" spans="1:9" x14ac:dyDescent="0.2">
      <c r="A5" s="24"/>
      <c r="B5" s="24"/>
      <c r="C5" s="24"/>
      <c r="D5" s="25"/>
      <c r="E5" s="25"/>
      <c r="F5" s="25"/>
      <c r="G5" s="25"/>
      <c r="H5" s="25"/>
      <c r="I5" s="25"/>
    </row>
    <row r="6" spans="1:9" x14ac:dyDescent="0.2">
      <c r="A6" s="24"/>
      <c r="B6" s="534" t="s">
        <v>272</v>
      </c>
      <c r="C6" s="535"/>
      <c r="D6" s="535"/>
      <c r="E6" s="535"/>
      <c r="F6" s="535"/>
      <c r="G6" s="536"/>
      <c r="H6" s="25"/>
      <c r="I6" s="25"/>
    </row>
    <row r="7" spans="1:9" x14ac:dyDescent="0.2">
      <c r="A7" s="24"/>
      <c r="B7" s="537" t="s">
        <v>275</v>
      </c>
      <c r="C7" s="538"/>
      <c r="D7" s="538"/>
      <c r="E7" s="538"/>
      <c r="F7" s="538"/>
      <c r="G7" s="539"/>
      <c r="H7" s="24"/>
      <c r="I7" s="24"/>
    </row>
    <row r="8" spans="1:9" x14ac:dyDescent="0.2">
      <c r="A8" s="24"/>
      <c r="B8" s="24"/>
      <c r="C8" s="24"/>
      <c r="D8" s="24"/>
      <c r="E8" s="24"/>
      <c r="F8" s="24"/>
      <c r="G8" s="24"/>
      <c r="H8" s="24"/>
      <c r="I8" s="24"/>
    </row>
    <row r="9" spans="1:9" x14ac:dyDescent="0.2">
      <c r="A9" s="487"/>
      <c r="B9" s="487"/>
      <c r="C9" s="321"/>
      <c r="D9" s="333"/>
      <c r="E9" s="321"/>
      <c r="F9" s="495" t="s">
        <v>172</v>
      </c>
      <c r="G9" s="532" t="s">
        <v>174</v>
      </c>
      <c r="H9" s="329"/>
      <c r="I9" s="333"/>
    </row>
    <row r="10" spans="1:9" x14ac:dyDescent="0.2">
      <c r="A10" s="434" t="s">
        <v>230</v>
      </c>
      <c r="B10" s="450" t="s">
        <v>171</v>
      </c>
      <c r="C10" s="43" t="s">
        <v>118</v>
      </c>
      <c r="D10" s="435" t="s">
        <v>4</v>
      </c>
      <c r="E10" s="43" t="s">
        <v>166</v>
      </c>
      <c r="F10" s="496"/>
      <c r="G10" s="533"/>
      <c r="H10" s="489" t="s">
        <v>18</v>
      </c>
      <c r="I10" s="490"/>
    </row>
    <row r="11" spans="1:9" x14ac:dyDescent="0.2">
      <c r="A11" s="434">
        <v>1</v>
      </c>
      <c r="B11" s="444" t="s">
        <v>254</v>
      </c>
      <c r="C11" s="336">
        <v>54.79</v>
      </c>
      <c r="D11" s="334">
        <v>12.38</v>
      </c>
      <c r="E11" s="412">
        <f>IF(D11&gt;0,1/(D11^2),"")</f>
        <v>6.5246723961989855E-3</v>
      </c>
      <c r="F11" s="413">
        <f>IF(D11&gt;0,C11*E11,"")</f>
        <v>0.3574868005877424</v>
      </c>
      <c r="G11" s="412">
        <f>IF(D11&gt;0,E11/E$34,"")</f>
        <v>0.37012343598774472</v>
      </c>
      <c r="H11" s="447">
        <f>IF(D11&gt;0,C11-1.96*D11,"")</f>
        <v>30.525199999999998</v>
      </c>
      <c r="I11" s="260">
        <f>IF(D11&gt;0,C11+1.96*D11,"")</f>
        <v>79.0548</v>
      </c>
    </row>
    <row r="12" spans="1:9" x14ac:dyDescent="0.2">
      <c r="A12" s="434">
        <v>2</v>
      </c>
      <c r="B12" s="445" t="s">
        <v>255</v>
      </c>
      <c r="C12" s="336">
        <v>44.68</v>
      </c>
      <c r="D12" s="334">
        <v>9.49</v>
      </c>
      <c r="E12" s="414">
        <f t="shared" ref="E12:E33" si="0">IF(D12&gt;0,1/(D12^2),"")</f>
        <v>1.1103696309464457E-2</v>
      </c>
      <c r="F12" s="415">
        <f>IF(D12&gt;0,C12*E12,"")</f>
        <v>0.49611315110687193</v>
      </c>
      <c r="G12" s="414">
        <f>IF(D12&gt;0,E12/E$34,"")</f>
        <v>0.62987656401225522</v>
      </c>
      <c r="H12" s="432">
        <f t="shared" ref="H12:H33" si="1">IF(D12&gt;0,C12-1.96*D12,"")</f>
        <v>26.079599999999999</v>
      </c>
      <c r="I12" s="263">
        <f t="shared" ref="I12:I33" si="2">IF(D12&gt;0,C12+1.96*D12,"")</f>
        <v>63.2804</v>
      </c>
    </row>
    <row r="13" spans="1:9" x14ac:dyDescent="0.2">
      <c r="A13" s="434">
        <v>3</v>
      </c>
      <c r="B13" s="445"/>
      <c r="C13" s="336"/>
      <c r="D13" s="334"/>
      <c r="E13" s="414" t="str">
        <f t="shared" si="0"/>
        <v/>
      </c>
      <c r="F13" s="415" t="str">
        <f t="shared" ref="F13:F28" si="3">IF(D13&gt;0,C13*E13,"")</f>
        <v/>
      </c>
      <c r="G13" s="414" t="str">
        <f t="shared" ref="G13:G28" si="4">IF(D13&gt;0,E13/E$34,"")</f>
        <v/>
      </c>
      <c r="H13" s="432" t="str">
        <f t="shared" si="1"/>
        <v/>
      </c>
      <c r="I13" s="263" t="str">
        <f t="shared" si="2"/>
        <v/>
      </c>
    </row>
    <row r="14" spans="1:9" x14ac:dyDescent="0.2">
      <c r="A14" s="434">
        <v>4</v>
      </c>
      <c r="B14" s="445"/>
      <c r="C14" s="336"/>
      <c r="D14" s="334"/>
      <c r="E14" s="414" t="str">
        <f t="shared" si="0"/>
        <v/>
      </c>
      <c r="F14" s="415" t="str">
        <f t="shared" si="3"/>
        <v/>
      </c>
      <c r="G14" s="414" t="str">
        <f t="shared" si="4"/>
        <v/>
      </c>
      <c r="H14" s="432" t="str">
        <f t="shared" si="1"/>
        <v/>
      </c>
      <c r="I14" s="263" t="str">
        <f t="shared" si="2"/>
        <v/>
      </c>
    </row>
    <row r="15" spans="1:9" x14ac:dyDescent="0.2">
      <c r="A15" s="434">
        <v>5</v>
      </c>
      <c r="B15" s="445"/>
      <c r="C15" s="336"/>
      <c r="D15" s="334"/>
      <c r="E15" s="414" t="str">
        <f t="shared" si="0"/>
        <v/>
      </c>
      <c r="F15" s="415" t="str">
        <f t="shared" si="3"/>
        <v/>
      </c>
      <c r="G15" s="414" t="str">
        <f t="shared" si="4"/>
        <v/>
      </c>
      <c r="H15" s="432" t="str">
        <f t="shared" si="1"/>
        <v/>
      </c>
      <c r="I15" s="263" t="str">
        <f t="shared" si="2"/>
        <v/>
      </c>
    </row>
    <row r="16" spans="1:9" x14ac:dyDescent="0.2">
      <c r="A16" s="434">
        <v>6</v>
      </c>
      <c r="B16" s="445"/>
      <c r="C16" s="336"/>
      <c r="D16" s="334"/>
      <c r="E16" s="414" t="str">
        <f t="shared" si="0"/>
        <v/>
      </c>
      <c r="F16" s="415" t="str">
        <f t="shared" si="3"/>
        <v/>
      </c>
      <c r="G16" s="414" t="str">
        <f t="shared" si="4"/>
        <v/>
      </c>
      <c r="H16" s="432" t="str">
        <f t="shared" si="1"/>
        <v/>
      </c>
      <c r="I16" s="263" t="str">
        <f t="shared" si="2"/>
        <v/>
      </c>
    </row>
    <row r="17" spans="1:9" x14ac:dyDescent="0.2">
      <c r="A17" s="434">
        <v>7</v>
      </c>
      <c r="B17" s="445"/>
      <c r="C17" s="336"/>
      <c r="D17" s="334"/>
      <c r="E17" s="414" t="str">
        <f t="shared" si="0"/>
        <v/>
      </c>
      <c r="F17" s="415" t="str">
        <f t="shared" si="3"/>
        <v/>
      </c>
      <c r="G17" s="414" t="str">
        <f t="shared" si="4"/>
        <v/>
      </c>
      <c r="H17" s="432" t="str">
        <f t="shared" si="1"/>
        <v/>
      </c>
      <c r="I17" s="263" t="str">
        <f t="shared" si="2"/>
        <v/>
      </c>
    </row>
    <row r="18" spans="1:9" x14ac:dyDescent="0.2">
      <c r="A18" s="434">
        <v>8</v>
      </c>
      <c r="B18" s="445"/>
      <c r="C18" s="336"/>
      <c r="D18" s="334"/>
      <c r="E18" s="414" t="str">
        <f t="shared" si="0"/>
        <v/>
      </c>
      <c r="F18" s="415" t="str">
        <f t="shared" si="3"/>
        <v/>
      </c>
      <c r="G18" s="414" t="str">
        <f t="shared" si="4"/>
        <v/>
      </c>
      <c r="H18" s="432" t="str">
        <f t="shared" si="1"/>
        <v/>
      </c>
      <c r="I18" s="263" t="str">
        <f t="shared" si="2"/>
        <v/>
      </c>
    </row>
    <row r="19" spans="1:9" x14ac:dyDescent="0.2">
      <c r="A19" s="434">
        <v>9</v>
      </c>
      <c r="B19" s="445"/>
      <c r="C19" s="336"/>
      <c r="D19" s="334"/>
      <c r="E19" s="414" t="str">
        <f t="shared" si="0"/>
        <v/>
      </c>
      <c r="F19" s="415" t="str">
        <f t="shared" si="3"/>
        <v/>
      </c>
      <c r="G19" s="414" t="str">
        <f t="shared" si="4"/>
        <v/>
      </c>
      <c r="H19" s="432" t="str">
        <f t="shared" si="1"/>
        <v/>
      </c>
      <c r="I19" s="263" t="str">
        <f t="shared" si="2"/>
        <v/>
      </c>
    </row>
    <row r="20" spans="1:9" x14ac:dyDescent="0.2">
      <c r="A20" s="434">
        <v>10</v>
      </c>
      <c r="B20" s="445"/>
      <c r="C20" s="336"/>
      <c r="D20" s="334"/>
      <c r="E20" s="414" t="str">
        <f t="shared" si="0"/>
        <v/>
      </c>
      <c r="F20" s="415" t="str">
        <f t="shared" si="3"/>
        <v/>
      </c>
      <c r="G20" s="414" t="str">
        <f t="shared" si="4"/>
        <v/>
      </c>
      <c r="H20" s="432" t="str">
        <f t="shared" si="1"/>
        <v/>
      </c>
      <c r="I20" s="263" t="str">
        <f t="shared" si="2"/>
        <v/>
      </c>
    </row>
    <row r="21" spans="1:9" x14ac:dyDescent="0.2">
      <c r="A21" s="434">
        <v>11</v>
      </c>
      <c r="B21" s="445"/>
      <c r="C21" s="336"/>
      <c r="D21" s="334"/>
      <c r="E21" s="414" t="str">
        <f t="shared" si="0"/>
        <v/>
      </c>
      <c r="F21" s="415" t="str">
        <f t="shared" si="3"/>
        <v/>
      </c>
      <c r="G21" s="414" t="str">
        <f t="shared" si="4"/>
        <v/>
      </c>
      <c r="H21" s="432" t="str">
        <f t="shared" si="1"/>
        <v/>
      </c>
      <c r="I21" s="263" t="str">
        <f t="shared" si="2"/>
        <v/>
      </c>
    </row>
    <row r="22" spans="1:9" x14ac:dyDescent="0.2">
      <c r="A22" s="434">
        <v>12</v>
      </c>
      <c r="B22" s="445"/>
      <c r="C22" s="336"/>
      <c r="D22" s="334"/>
      <c r="E22" s="414" t="str">
        <f t="shared" si="0"/>
        <v/>
      </c>
      <c r="F22" s="415" t="str">
        <f t="shared" si="3"/>
        <v/>
      </c>
      <c r="G22" s="414" t="str">
        <f t="shared" si="4"/>
        <v/>
      </c>
      <c r="H22" s="432" t="str">
        <f t="shared" si="1"/>
        <v/>
      </c>
      <c r="I22" s="263" t="str">
        <f t="shared" si="2"/>
        <v/>
      </c>
    </row>
    <row r="23" spans="1:9" x14ac:dyDescent="0.2">
      <c r="A23" s="434">
        <v>13</v>
      </c>
      <c r="B23" s="445"/>
      <c r="C23" s="336"/>
      <c r="D23" s="334"/>
      <c r="E23" s="414" t="str">
        <f t="shared" si="0"/>
        <v/>
      </c>
      <c r="F23" s="415" t="str">
        <f t="shared" si="3"/>
        <v/>
      </c>
      <c r="G23" s="414" t="str">
        <f t="shared" si="4"/>
        <v/>
      </c>
      <c r="H23" s="432" t="str">
        <f t="shared" si="1"/>
        <v/>
      </c>
      <c r="I23" s="263" t="str">
        <f t="shared" si="2"/>
        <v/>
      </c>
    </row>
    <row r="24" spans="1:9" x14ac:dyDescent="0.2">
      <c r="A24" s="434">
        <v>14</v>
      </c>
      <c r="B24" s="445"/>
      <c r="C24" s="336"/>
      <c r="D24" s="334"/>
      <c r="E24" s="414" t="str">
        <f t="shared" si="0"/>
        <v/>
      </c>
      <c r="F24" s="415" t="str">
        <f t="shared" si="3"/>
        <v/>
      </c>
      <c r="G24" s="414" t="str">
        <f t="shared" si="4"/>
        <v/>
      </c>
      <c r="H24" s="432" t="str">
        <f t="shared" si="1"/>
        <v/>
      </c>
      <c r="I24" s="263" t="str">
        <f t="shared" si="2"/>
        <v/>
      </c>
    </row>
    <row r="25" spans="1:9" x14ac:dyDescent="0.2">
      <c r="A25" s="434">
        <v>15</v>
      </c>
      <c r="B25" s="445"/>
      <c r="C25" s="336"/>
      <c r="D25" s="334"/>
      <c r="E25" s="414" t="str">
        <f t="shared" si="0"/>
        <v/>
      </c>
      <c r="F25" s="415" t="str">
        <f t="shared" si="3"/>
        <v/>
      </c>
      <c r="G25" s="414" t="str">
        <f t="shared" si="4"/>
        <v/>
      </c>
      <c r="H25" s="432" t="str">
        <f t="shared" si="1"/>
        <v/>
      </c>
      <c r="I25" s="263" t="str">
        <f t="shared" si="2"/>
        <v/>
      </c>
    </row>
    <row r="26" spans="1:9" x14ac:dyDescent="0.2">
      <c r="A26" s="434">
        <v>16</v>
      </c>
      <c r="B26" s="445"/>
      <c r="C26" s="336"/>
      <c r="D26" s="334"/>
      <c r="E26" s="414" t="str">
        <f t="shared" si="0"/>
        <v/>
      </c>
      <c r="F26" s="415" t="str">
        <f t="shared" si="3"/>
        <v/>
      </c>
      <c r="G26" s="414" t="str">
        <f t="shared" si="4"/>
        <v/>
      </c>
      <c r="H26" s="432" t="str">
        <f t="shared" si="1"/>
        <v/>
      </c>
      <c r="I26" s="263" t="str">
        <f t="shared" si="2"/>
        <v/>
      </c>
    </row>
    <row r="27" spans="1:9" x14ac:dyDescent="0.2">
      <c r="A27" s="434">
        <v>17</v>
      </c>
      <c r="B27" s="445"/>
      <c r="C27" s="336"/>
      <c r="D27" s="334"/>
      <c r="E27" s="414" t="str">
        <f t="shared" si="0"/>
        <v/>
      </c>
      <c r="F27" s="415" t="str">
        <f t="shared" si="3"/>
        <v/>
      </c>
      <c r="G27" s="414" t="str">
        <f t="shared" si="4"/>
        <v/>
      </c>
      <c r="H27" s="432" t="str">
        <f t="shared" si="1"/>
        <v/>
      </c>
      <c r="I27" s="263" t="str">
        <f t="shared" si="2"/>
        <v/>
      </c>
    </row>
    <row r="28" spans="1:9" x14ac:dyDescent="0.2">
      <c r="A28" s="434">
        <v>18</v>
      </c>
      <c r="B28" s="445"/>
      <c r="C28" s="336"/>
      <c r="D28" s="334"/>
      <c r="E28" s="414" t="str">
        <f t="shared" si="0"/>
        <v/>
      </c>
      <c r="F28" s="415" t="str">
        <f t="shared" si="3"/>
        <v/>
      </c>
      <c r="G28" s="414" t="str">
        <f t="shared" si="4"/>
        <v/>
      </c>
      <c r="H28" s="432" t="str">
        <f t="shared" si="1"/>
        <v/>
      </c>
      <c r="I28" s="263" t="str">
        <f t="shared" si="2"/>
        <v/>
      </c>
    </row>
    <row r="29" spans="1:9" x14ac:dyDescent="0.2">
      <c r="A29" s="434">
        <v>19</v>
      </c>
      <c r="B29" s="445"/>
      <c r="C29" s="336"/>
      <c r="D29" s="334"/>
      <c r="E29" s="414" t="str">
        <f t="shared" si="0"/>
        <v/>
      </c>
      <c r="F29" s="415" t="str">
        <f>IF(D29&gt;0,C29*E29,"")</f>
        <v/>
      </c>
      <c r="G29" s="414" t="str">
        <f>IF(D29&gt;0,E29/E$34,"")</f>
        <v/>
      </c>
      <c r="H29" s="432" t="str">
        <f t="shared" si="1"/>
        <v/>
      </c>
      <c r="I29" s="263" t="str">
        <f t="shared" si="2"/>
        <v/>
      </c>
    </row>
    <row r="30" spans="1:9" x14ac:dyDescent="0.2">
      <c r="A30" s="434">
        <v>20</v>
      </c>
      <c r="B30" s="445"/>
      <c r="C30" s="336"/>
      <c r="D30" s="334"/>
      <c r="E30" s="414" t="str">
        <f t="shared" si="0"/>
        <v/>
      </c>
      <c r="F30" s="415" t="str">
        <f>IF(D30&gt;0,C30*E30,"")</f>
        <v/>
      </c>
      <c r="G30" s="414" t="str">
        <f>IF(D30&gt;0,E30/E$34,"")</f>
        <v/>
      </c>
      <c r="H30" s="432" t="str">
        <f t="shared" si="1"/>
        <v/>
      </c>
      <c r="I30" s="263" t="str">
        <f t="shared" si="2"/>
        <v/>
      </c>
    </row>
    <row r="31" spans="1:9" x14ac:dyDescent="0.2">
      <c r="A31" s="434">
        <v>21</v>
      </c>
      <c r="B31" s="445"/>
      <c r="C31" s="336"/>
      <c r="D31" s="334"/>
      <c r="E31" s="414" t="str">
        <f t="shared" si="0"/>
        <v/>
      </c>
      <c r="F31" s="415" t="str">
        <f>IF(D31&gt;0,C31*E31,"")</f>
        <v/>
      </c>
      <c r="G31" s="414" t="str">
        <f>IF(D31&gt;0,E31/E$34,"")</f>
        <v/>
      </c>
      <c r="H31" s="432" t="str">
        <f t="shared" si="1"/>
        <v/>
      </c>
      <c r="I31" s="263" t="str">
        <f t="shared" si="2"/>
        <v/>
      </c>
    </row>
    <row r="32" spans="1:9" x14ac:dyDescent="0.2">
      <c r="A32" s="434">
        <v>22</v>
      </c>
      <c r="B32" s="445"/>
      <c r="C32" s="336"/>
      <c r="D32" s="334"/>
      <c r="E32" s="414" t="str">
        <f t="shared" si="0"/>
        <v/>
      </c>
      <c r="F32" s="415" t="str">
        <f>IF(D32&gt;0,C32*E32,"")</f>
        <v/>
      </c>
      <c r="G32" s="414" t="str">
        <f>IF(D32&gt;0,E32/E$34,"")</f>
        <v/>
      </c>
      <c r="H32" s="432" t="str">
        <f t="shared" si="1"/>
        <v/>
      </c>
      <c r="I32" s="263" t="str">
        <f t="shared" si="2"/>
        <v/>
      </c>
    </row>
    <row r="33" spans="1:9" x14ac:dyDescent="0.2">
      <c r="A33" s="434">
        <v>23</v>
      </c>
      <c r="B33" s="446"/>
      <c r="C33" s="337"/>
      <c r="D33" s="335"/>
      <c r="E33" s="416" t="str">
        <f t="shared" si="0"/>
        <v/>
      </c>
      <c r="F33" s="417" t="str">
        <f>IF(D33&gt;0,C33*E33,"")</f>
        <v/>
      </c>
      <c r="G33" s="416" t="str">
        <f>IF(D33&gt;0,E33/E$34,"")</f>
        <v/>
      </c>
      <c r="H33" s="345" t="str">
        <f t="shared" si="1"/>
        <v/>
      </c>
      <c r="I33" s="268" t="str">
        <f t="shared" si="2"/>
        <v/>
      </c>
    </row>
    <row r="34" spans="1:9" x14ac:dyDescent="0.2">
      <c r="A34" s="90"/>
      <c r="B34" s="90" t="s">
        <v>173</v>
      </c>
      <c r="C34" s="213"/>
      <c r="D34" s="325"/>
      <c r="E34" s="418">
        <f>SUM(E11:E33)</f>
        <v>1.7628368705663443E-2</v>
      </c>
      <c r="F34" s="419">
        <f>SUM(F11:F33)</f>
        <v>0.85359995169461433</v>
      </c>
      <c r="G34" s="213">
        <f>IF(E34&gt;0,E34/E$34,"")</f>
        <v>1</v>
      </c>
      <c r="H34" s="24"/>
      <c r="I34" s="24"/>
    </row>
    <row r="35" spans="1:9" s="320" customFormat="1" ht="15" customHeight="1" x14ac:dyDescent="0.2">
      <c r="A35" s="324"/>
      <c r="B35" s="324"/>
      <c r="C35" s="324"/>
      <c r="D35" s="324"/>
      <c r="E35" s="324"/>
      <c r="F35" s="324"/>
      <c r="G35" s="324"/>
      <c r="H35" s="324"/>
      <c r="I35" s="324"/>
    </row>
    <row r="36" spans="1:9" x14ac:dyDescent="0.2">
      <c r="A36" s="24"/>
      <c r="B36" s="24"/>
      <c r="C36" s="24"/>
      <c r="D36" s="24"/>
      <c r="E36" s="24"/>
      <c r="F36" s="24"/>
      <c r="G36" s="24"/>
      <c r="H36" s="24"/>
      <c r="I36" s="24"/>
    </row>
    <row r="37" spans="1:9" x14ac:dyDescent="0.2">
      <c r="A37" s="24"/>
      <c r="B37" s="24"/>
      <c r="C37" s="24"/>
      <c r="D37" s="24"/>
      <c r="E37" s="24"/>
      <c r="F37" s="24"/>
      <c r="G37" s="24"/>
      <c r="H37" s="24"/>
      <c r="I37" s="24"/>
    </row>
    <row r="38" spans="1:9" x14ac:dyDescent="0.2">
      <c r="A38" s="24"/>
      <c r="B38" s="321"/>
      <c r="C38" s="434" t="s">
        <v>118</v>
      </c>
      <c r="D38" s="434" t="s">
        <v>4</v>
      </c>
      <c r="E38" s="473" t="s">
        <v>18</v>
      </c>
      <c r="F38" s="472"/>
      <c r="G38" s="24"/>
      <c r="H38" s="24"/>
      <c r="I38" s="24"/>
    </row>
    <row r="39" spans="1:9" x14ac:dyDescent="0.2">
      <c r="A39" s="24"/>
      <c r="B39" s="443" t="s">
        <v>204</v>
      </c>
      <c r="C39" s="323">
        <f>F34/E34</f>
        <v>48.421947937836094</v>
      </c>
      <c r="D39" s="323">
        <f>SQRT(1/E34)</f>
        <v>7.5317160290733289</v>
      </c>
      <c r="E39" s="410">
        <f>C39-1.96*D39</f>
        <v>33.659784520852369</v>
      </c>
      <c r="F39" s="325">
        <f>C39+1.96*D39</f>
        <v>63.184111354819819</v>
      </c>
      <c r="G39" s="24"/>
      <c r="H39" s="24"/>
      <c r="I39" s="24"/>
    </row>
    <row r="40" spans="1:9" x14ac:dyDescent="0.2">
      <c r="A40" s="24"/>
      <c r="B40" s="90" t="s">
        <v>220</v>
      </c>
      <c r="C40" s="458">
        <f>EXP(C39)</f>
        <v>1.0700025000443533E+21</v>
      </c>
      <c r="D40" s="460"/>
      <c r="E40" s="458">
        <f>EXP(E39)</f>
        <v>415201275941514</v>
      </c>
      <c r="F40" s="458">
        <f>EXP(F39)</f>
        <v>2.7574706929909331E+27</v>
      </c>
      <c r="G40" s="24" t="s">
        <v>267</v>
      </c>
      <c r="H40" s="24"/>
      <c r="I40" s="24"/>
    </row>
    <row r="41" spans="1:9" x14ac:dyDescent="0.2">
      <c r="A41" s="24"/>
      <c r="B41" s="24"/>
      <c r="C41" s="24"/>
      <c r="D41" s="24"/>
      <c r="E41" s="24"/>
      <c r="F41" s="24"/>
      <c r="G41" s="24"/>
      <c r="H41" s="24"/>
      <c r="I41" s="24"/>
    </row>
    <row r="42" spans="1:9" x14ac:dyDescent="0.2">
      <c r="A42" s="24"/>
      <c r="B42" s="440" t="s">
        <v>285</v>
      </c>
      <c r="C42" s="351">
        <v>35</v>
      </c>
      <c r="D42" s="438" t="s">
        <v>22</v>
      </c>
      <c r="E42" s="184">
        <f>(C39-C42)/D39</f>
        <v>1.7820570884544455</v>
      </c>
      <c r="F42" s="438" t="s">
        <v>119</v>
      </c>
      <c r="G42" s="411">
        <f>2*(1-NORMSDIST(ABS(E42)))</f>
        <v>7.4739922584713625E-2</v>
      </c>
      <c r="H42" s="24"/>
      <c r="I42" s="24"/>
    </row>
    <row r="43" spans="1:9" x14ac:dyDescent="0.2">
      <c r="A43" s="24"/>
      <c r="B43" s="24"/>
      <c r="C43" s="24"/>
      <c r="D43" s="24"/>
      <c r="E43" s="24"/>
      <c r="F43" s="24"/>
      <c r="G43" s="24"/>
      <c r="H43" s="24"/>
      <c r="I43" s="24"/>
    </row>
    <row r="44" spans="1:9" x14ac:dyDescent="0.2">
      <c r="A44" s="24"/>
      <c r="B44" s="24"/>
      <c r="C44" s="24"/>
      <c r="D44" s="24"/>
      <c r="E44" s="24"/>
      <c r="F44" s="24"/>
      <c r="G44" s="24"/>
      <c r="H44" s="24"/>
      <c r="I44" s="24"/>
    </row>
    <row r="45" spans="1:9" x14ac:dyDescent="0.2">
      <c r="A45" s="24"/>
      <c r="B45" s="25" t="s">
        <v>232</v>
      </c>
      <c r="C45" s="24"/>
      <c r="D45" s="24"/>
      <c r="E45" s="24"/>
      <c r="F45" s="24"/>
      <c r="G45" s="24"/>
      <c r="H45" s="24"/>
      <c r="I45" s="24"/>
    </row>
    <row r="46" spans="1:9" x14ac:dyDescent="0.2">
      <c r="A46" s="434" t="s">
        <v>230</v>
      </c>
      <c r="B46" s="434" t="s">
        <v>231</v>
      </c>
      <c r="C46" s="59" t="s">
        <v>118</v>
      </c>
      <c r="D46" s="436" t="s">
        <v>4</v>
      </c>
      <c r="E46" s="46"/>
      <c r="F46" s="46"/>
      <c r="G46" s="24"/>
      <c r="H46" s="24"/>
      <c r="I46" s="24"/>
    </row>
    <row r="47" spans="1:9" x14ac:dyDescent="0.2">
      <c r="A47" s="420">
        <v>2</v>
      </c>
      <c r="B47" s="329" t="str">
        <f>VLOOKUP(A47,A11:B33,2)</f>
        <v>Kvinder</v>
      </c>
      <c r="C47" s="339">
        <f>VLOOKUP(A47,A11:D33,3)</f>
        <v>44.68</v>
      </c>
      <c r="D47" s="340">
        <f>VLOOKUP(A47,A11:D33,4)</f>
        <v>9.49</v>
      </c>
      <c r="E47" s="46"/>
      <c r="F47" s="46"/>
      <c r="G47" s="24"/>
      <c r="H47" s="24"/>
      <c r="I47" s="24"/>
    </row>
    <row r="48" spans="1:9" x14ac:dyDescent="0.2">
      <c r="A48" s="420">
        <v>1</v>
      </c>
      <c r="B48" s="338" t="str">
        <f>VLOOKUP(A48,A11:B33,2)</f>
        <v>Mænd</v>
      </c>
      <c r="C48" s="315">
        <f>VLOOKUP(A48,A11:D33,3)</f>
        <v>54.79</v>
      </c>
      <c r="D48" s="313">
        <f>VLOOKUP(A48,A11:D33,4)</f>
        <v>12.38</v>
      </c>
      <c r="E48" s="471" t="s">
        <v>18</v>
      </c>
      <c r="F48" s="472"/>
      <c r="G48" s="24"/>
      <c r="H48" s="24"/>
      <c r="I48" s="24"/>
    </row>
    <row r="49" spans="1:9" x14ac:dyDescent="0.2">
      <c r="A49" s="24"/>
      <c r="B49" s="338" t="s">
        <v>107</v>
      </c>
      <c r="C49" s="315">
        <f>C47-C48</f>
        <v>-10.11</v>
      </c>
      <c r="D49" s="313">
        <f>SQRT(D47^2+D48^2)</f>
        <v>15.598862137989425</v>
      </c>
      <c r="E49" s="341">
        <f>C49-1.96*D49</f>
        <v>-40.683769790459273</v>
      </c>
      <c r="F49" s="313">
        <f>C49+1.96*D49</f>
        <v>20.463769790459274</v>
      </c>
      <c r="G49" s="24"/>
      <c r="H49" s="24"/>
      <c r="I49" s="24"/>
    </row>
    <row r="50" spans="1:9" x14ac:dyDescent="0.2">
      <c r="A50" s="24"/>
      <c r="B50" s="90" t="s">
        <v>220</v>
      </c>
      <c r="C50" s="458">
        <f>EXP(C49)</f>
        <v>4.0670806821298758E-5</v>
      </c>
      <c r="D50" s="460"/>
      <c r="E50" s="458">
        <f>EXP(E49)</f>
        <v>2.1441900530654355E-18</v>
      </c>
      <c r="F50" s="458">
        <f>EXP(F49)</f>
        <v>771440257.88693559</v>
      </c>
      <c r="G50" s="24" t="s">
        <v>276</v>
      </c>
      <c r="H50" s="24"/>
      <c r="I50" s="24"/>
    </row>
    <row r="51" spans="1:9" x14ac:dyDescent="0.2">
      <c r="A51" s="24"/>
      <c r="B51" s="40"/>
      <c r="C51" s="191"/>
      <c r="D51" s="191"/>
      <c r="E51" s="191"/>
      <c r="F51" s="191"/>
      <c r="G51" s="24"/>
      <c r="H51" s="24"/>
      <c r="I51" s="24"/>
    </row>
    <row r="52" spans="1:9" x14ac:dyDescent="0.2">
      <c r="A52" s="24"/>
      <c r="B52" s="440" t="s">
        <v>286</v>
      </c>
      <c r="C52" s="351">
        <v>0</v>
      </c>
      <c r="D52" s="438" t="s">
        <v>22</v>
      </c>
      <c r="E52" s="184">
        <f>(C49-C52)/D49</f>
        <v>-0.64812419717321135</v>
      </c>
      <c r="F52" s="438" t="s">
        <v>119</v>
      </c>
      <c r="G52" s="411">
        <f>2*(1-NORMSDIST(ABS(E52)))</f>
        <v>0.51690462480576049</v>
      </c>
      <c r="H52" s="24"/>
      <c r="I52" s="24"/>
    </row>
    <row r="53" spans="1:9" x14ac:dyDescent="0.2">
      <c r="A53" s="24"/>
      <c r="B53" s="24"/>
      <c r="C53" s="24"/>
      <c r="D53" s="24"/>
      <c r="E53" s="46"/>
      <c r="F53" s="46"/>
      <c r="G53" s="24"/>
      <c r="H53" s="24"/>
      <c r="I53" s="24"/>
    </row>
  </sheetData>
  <sheetProtection sheet="1" objects="1" scenarios="1" formatCells="0" formatColumns="0"/>
  <mergeCells count="11">
    <mergeCell ref="A9:B9"/>
    <mergeCell ref="H10:I10"/>
    <mergeCell ref="C2:F2"/>
    <mergeCell ref="E48:F48"/>
    <mergeCell ref="G9:G10"/>
    <mergeCell ref="F9:F10"/>
    <mergeCell ref="B6:G6"/>
    <mergeCell ref="B7:G7"/>
    <mergeCell ref="G1:G2"/>
    <mergeCell ref="C1:F1"/>
    <mergeCell ref="E38:F38"/>
  </mergeCells>
  <phoneticPr fontId="9" type="noConversion"/>
  <hyperlinks>
    <hyperlink ref="G1:G2" location="Start!A1" display="Start"/>
  </hyperlinks>
  <pageMargins left="0.75" right="0.75" top="1" bottom="1" header="0" footer="0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topLeftCell="A5" workbookViewId="0">
      <selection activeCell="C53" sqref="C53:F53"/>
    </sheetView>
  </sheetViews>
  <sheetFormatPr defaultRowHeight="12.75" x14ac:dyDescent="0.2"/>
  <cols>
    <col min="1" max="1" width="3.5703125" bestFit="1" customWidth="1"/>
    <col min="2" max="2" width="21.7109375" customWidth="1"/>
    <col min="3" max="8" width="9.28515625" customWidth="1"/>
  </cols>
  <sheetData>
    <row r="1" spans="1:9" x14ac:dyDescent="0.2">
      <c r="B1" s="7" t="s">
        <v>203</v>
      </c>
      <c r="C1" s="494" t="s">
        <v>202</v>
      </c>
      <c r="D1" s="494"/>
      <c r="E1" s="494"/>
      <c r="F1" s="531"/>
      <c r="G1" s="475" t="s">
        <v>186</v>
      </c>
      <c r="H1" s="7"/>
      <c r="I1" s="7"/>
    </row>
    <row r="2" spans="1:9" x14ac:dyDescent="0.2">
      <c r="C2" s="494" t="s">
        <v>274</v>
      </c>
      <c r="D2" s="494"/>
      <c r="E2" s="494"/>
      <c r="F2" s="531"/>
      <c r="G2" s="476"/>
      <c r="H2" s="7"/>
      <c r="I2" s="7"/>
    </row>
    <row r="3" spans="1:9" x14ac:dyDescent="0.2">
      <c r="A3" s="24"/>
      <c r="B3" s="24"/>
      <c r="C3" s="24"/>
      <c r="D3" s="25"/>
      <c r="E3" s="25"/>
      <c r="F3" s="25"/>
      <c r="G3" s="25"/>
      <c r="H3" s="25"/>
      <c r="I3" s="25"/>
    </row>
    <row r="4" spans="1:9" x14ac:dyDescent="0.2">
      <c r="A4" s="24"/>
      <c r="B4" s="24"/>
      <c r="C4" s="24"/>
      <c r="D4" s="25"/>
      <c r="E4" s="25"/>
      <c r="F4" s="25"/>
      <c r="G4" s="24"/>
      <c r="H4" s="24"/>
      <c r="I4" s="25"/>
    </row>
    <row r="5" spans="1:9" x14ac:dyDescent="0.2">
      <c r="A5" s="24"/>
      <c r="B5" s="24"/>
      <c r="C5" s="24"/>
      <c r="D5" s="25"/>
      <c r="E5" s="25"/>
      <c r="F5" s="25"/>
      <c r="G5" s="25"/>
      <c r="H5" s="25"/>
      <c r="I5" s="25"/>
    </row>
    <row r="6" spans="1:9" x14ac:dyDescent="0.2">
      <c r="A6" s="24"/>
      <c r="B6" s="540"/>
      <c r="C6" s="541"/>
      <c r="D6" s="541"/>
      <c r="E6" s="541"/>
      <c r="F6" s="541"/>
      <c r="G6" s="542"/>
      <c r="H6" s="25"/>
      <c r="I6" s="25"/>
    </row>
    <row r="7" spans="1:9" x14ac:dyDescent="0.2">
      <c r="A7" s="24"/>
      <c r="B7" s="537" t="s">
        <v>287</v>
      </c>
      <c r="C7" s="538"/>
      <c r="D7" s="538"/>
      <c r="E7" s="538"/>
      <c r="F7" s="538"/>
      <c r="G7" s="539"/>
      <c r="H7" s="24"/>
      <c r="I7" s="24"/>
    </row>
    <row r="8" spans="1:9" x14ac:dyDescent="0.2">
      <c r="A8" s="24"/>
      <c r="B8" s="24"/>
      <c r="C8" s="24"/>
      <c r="D8" s="24"/>
      <c r="E8" s="24"/>
      <c r="F8" s="24"/>
      <c r="G8" s="24"/>
      <c r="H8" s="24"/>
      <c r="I8" s="24"/>
    </row>
    <row r="9" spans="1:9" x14ac:dyDescent="0.2">
      <c r="A9" s="487"/>
      <c r="B9" s="487"/>
      <c r="C9" s="321"/>
      <c r="D9" s="333"/>
      <c r="E9" s="321"/>
      <c r="F9" s="495" t="s">
        <v>172</v>
      </c>
      <c r="G9" s="495" t="s">
        <v>174</v>
      </c>
      <c r="H9" s="495" t="s">
        <v>201</v>
      </c>
      <c r="I9" s="24"/>
    </row>
    <row r="10" spans="1:9" x14ac:dyDescent="0.2">
      <c r="A10" s="434" t="s">
        <v>230</v>
      </c>
      <c r="B10" s="450" t="s">
        <v>171</v>
      </c>
      <c r="C10" s="43" t="s">
        <v>118</v>
      </c>
      <c r="D10" s="435" t="s">
        <v>4</v>
      </c>
      <c r="E10" s="43" t="s">
        <v>166</v>
      </c>
      <c r="F10" s="496"/>
      <c r="G10" s="496"/>
      <c r="H10" s="496" t="s">
        <v>200</v>
      </c>
      <c r="I10" s="24"/>
    </row>
    <row r="11" spans="1:9" x14ac:dyDescent="0.2">
      <c r="A11" s="434">
        <v>1</v>
      </c>
      <c r="B11" s="330" t="s">
        <v>234</v>
      </c>
      <c r="C11" s="305">
        <v>25.720099999999999</v>
      </c>
      <c r="D11" s="453">
        <v>0.11277090995037511</v>
      </c>
      <c r="E11" s="453">
        <v>36530</v>
      </c>
      <c r="F11" s="454">
        <f>IF(E11&gt;0,C11*E11,"")</f>
        <v>939555.25299999991</v>
      </c>
      <c r="G11" s="326">
        <f>IF(D11&gt;0,E11/E$37,"")</f>
        <v>3.5573915448408572E-2</v>
      </c>
      <c r="H11" s="454">
        <f>IF(E11&gt;0,D11^2*E11^2,"")</f>
        <v>16970456.07472948</v>
      </c>
      <c r="I11" s="24"/>
    </row>
    <row r="12" spans="1:9" x14ac:dyDescent="0.2">
      <c r="A12" s="434">
        <v>2</v>
      </c>
      <c r="B12" s="330" t="s">
        <v>235</v>
      </c>
      <c r="C12" s="305">
        <v>25.978760000000001</v>
      </c>
      <c r="D12" s="453">
        <v>0.11352706580183446</v>
      </c>
      <c r="E12" s="453">
        <v>36500</v>
      </c>
      <c r="F12" s="454">
        <f>IF(E12&gt;0,C12*E12,"")</f>
        <v>948224.74</v>
      </c>
      <c r="G12" s="327">
        <f>IF(D12&gt;0,E12/E$37,"")</f>
        <v>3.5544700625976262E-2</v>
      </c>
      <c r="H12" s="454">
        <f>IF(E12&gt;0,D12^2*E12^2,"")</f>
        <v>17170563.79854003</v>
      </c>
      <c r="I12" s="24"/>
    </row>
    <row r="13" spans="1:9" x14ac:dyDescent="0.2">
      <c r="A13" s="434">
        <v>3</v>
      </c>
      <c r="B13" s="330" t="s">
        <v>236</v>
      </c>
      <c r="C13" s="305">
        <v>25.590820000000001</v>
      </c>
      <c r="D13" s="453">
        <v>0.10743682925672164</v>
      </c>
      <c r="E13" s="453">
        <v>69341</v>
      </c>
      <c r="F13" s="454">
        <f t="shared" ref="F13:F31" si="0">IF(E13&gt;0,C13*E13,"")</f>
        <v>1774493.0496199999</v>
      </c>
      <c r="G13" s="327">
        <f t="shared" ref="G13:G31" si="1">IF(D13&gt;0,E13/E$37,"")</f>
        <v>6.752616674262521E-2</v>
      </c>
      <c r="H13" s="454">
        <f t="shared" ref="H13:H31" si="2">IF(E13&gt;0,D13^2*E13^2,"")</f>
        <v>55499179.994255871</v>
      </c>
      <c r="I13" s="24"/>
    </row>
    <row r="14" spans="1:9" x14ac:dyDescent="0.2">
      <c r="A14" s="434">
        <v>4</v>
      </c>
      <c r="B14" s="330" t="s">
        <v>237</v>
      </c>
      <c r="C14" s="305">
        <v>25.595030000000001</v>
      </c>
      <c r="D14" s="453">
        <v>0.11731462917932689</v>
      </c>
      <c r="E14" s="453">
        <v>46391</v>
      </c>
      <c r="F14" s="454">
        <f t="shared" si="0"/>
        <v>1187379.0367300001</v>
      </c>
      <c r="G14" s="327">
        <f t="shared" si="1"/>
        <v>4.5176827581908621E-2</v>
      </c>
      <c r="H14" s="454">
        <f t="shared" si="2"/>
        <v>29619096.918840855</v>
      </c>
      <c r="I14" s="24"/>
    </row>
    <row r="15" spans="1:9" x14ac:dyDescent="0.2">
      <c r="A15" s="434">
        <v>5</v>
      </c>
      <c r="B15" s="330" t="s">
        <v>238</v>
      </c>
      <c r="C15" s="305">
        <v>25.772110000000001</v>
      </c>
      <c r="D15" s="453">
        <v>0.11951561600416924</v>
      </c>
      <c r="E15" s="453">
        <v>67297</v>
      </c>
      <c r="F15" s="454">
        <f t="shared" si="0"/>
        <v>1734385.6866700002</v>
      </c>
      <c r="G15" s="327">
        <f t="shared" si="1"/>
        <v>6.5535663507570535E-2</v>
      </c>
      <c r="H15" s="454">
        <f t="shared" si="2"/>
        <v>64690531.212799869</v>
      </c>
      <c r="I15" s="24"/>
    </row>
    <row r="16" spans="1:9" x14ac:dyDescent="0.2">
      <c r="A16" s="434">
        <v>6</v>
      </c>
      <c r="B16" s="330" t="s">
        <v>239</v>
      </c>
      <c r="C16" s="305">
        <v>25.749289999999998</v>
      </c>
      <c r="D16" s="453">
        <v>0.11482246750416832</v>
      </c>
      <c r="E16" s="453">
        <v>32619</v>
      </c>
      <c r="F16" s="454">
        <f t="shared" si="0"/>
        <v>839916.09050999989</v>
      </c>
      <c r="G16" s="327">
        <f t="shared" si="1"/>
        <v>3.1765276430649851E-2</v>
      </c>
      <c r="H16" s="454">
        <f t="shared" si="2"/>
        <v>14027976.721002521</v>
      </c>
      <c r="I16" s="24"/>
    </row>
    <row r="17" spans="1:9" x14ac:dyDescent="0.2">
      <c r="A17" s="434">
        <v>7</v>
      </c>
      <c r="B17" s="330" t="s">
        <v>240</v>
      </c>
      <c r="C17" s="305">
        <v>26.011340000000001</v>
      </c>
      <c r="D17" s="453">
        <v>0.11867156976124944</v>
      </c>
      <c r="E17" s="453">
        <v>17737</v>
      </c>
      <c r="F17" s="454">
        <f t="shared" si="0"/>
        <v>461363.13758000004</v>
      </c>
      <c r="G17" s="327">
        <f t="shared" si="1"/>
        <v>1.7272776849395644E-2</v>
      </c>
      <c r="H17" s="454">
        <f t="shared" si="2"/>
        <v>4430509.8492944529</v>
      </c>
      <c r="I17" s="24"/>
    </row>
    <row r="18" spans="1:9" x14ac:dyDescent="0.2">
      <c r="A18" s="434">
        <v>8</v>
      </c>
      <c r="B18" s="330" t="s">
        <v>241</v>
      </c>
      <c r="C18" s="305">
        <v>26.037040000000001</v>
      </c>
      <c r="D18" s="453">
        <v>0.11995514236689254</v>
      </c>
      <c r="E18" s="453">
        <v>31826</v>
      </c>
      <c r="F18" s="454">
        <f t="shared" si="0"/>
        <v>828654.83504000003</v>
      </c>
      <c r="G18" s="327">
        <f t="shared" si="1"/>
        <v>3.0993031291022481E-2</v>
      </c>
      <c r="H18" s="454">
        <f t="shared" si="2"/>
        <v>14574774.962998936</v>
      </c>
      <c r="I18" s="24"/>
    </row>
    <row r="19" spans="1:9" x14ac:dyDescent="0.2">
      <c r="A19" s="434">
        <v>9</v>
      </c>
      <c r="B19" s="330" t="s">
        <v>242</v>
      </c>
      <c r="C19" s="305">
        <v>25.402439999999999</v>
      </c>
      <c r="D19" s="453">
        <v>0.11358864001495109</v>
      </c>
      <c r="E19" s="453">
        <v>17653</v>
      </c>
      <c r="F19" s="454">
        <f t="shared" si="0"/>
        <v>448429.27331999998</v>
      </c>
      <c r="G19" s="327">
        <f t="shared" si="1"/>
        <v>1.7190975346585178E-2</v>
      </c>
      <c r="H19" s="454">
        <f t="shared" si="2"/>
        <v>4020747.8838520208</v>
      </c>
      <c r="I19" s="24"/>
    </row>
    <row r="20" spans="1:9" x14ac:dyDescent="0.2">
      <c r="A20" s="434">
        <v>10</v>
      </c>
      <c r="B20" s="330" t="s">
        <v>243</v>
      </c>
      <c r="C20" s="305">
        <v>25.599039999999999</v>
      </c>
      <c r="D20" s="453">
        <v>0.11182076633968763</v>
      </c>
      <c r="E20" s="453">
        <v>78099</v>
      </c>
      <c r="F20" s="454">
        <f t="shared" si="0"/>
        <v>1999259.42496</v>
      </c>
      <c r="G20" s="327">
        <f t="shared" si="1"/>
        <v>7.605494723803069E-2</v>
      </c>
      <c r="H20" s="454">
        <f t="shared" si="2"/>
        <v>76266861.478430241</v>
      </c>
      <c r="I20" s="24"/>
    </row>
    <row r="21" spans="1:9" x14ac:dyDescent="0.2">
      <c r="A21" s="434">
        <v>11</v>
      </c>
      <c r="B21" s="330" t="s">
        <v>244</v>
      </c>
      <c r="C21" s="305">
        <v>25.814139999999998</v>
      </c>
      <c r="D21" s="453">
        <v>0.11919367495445574</v>
      </c>
      <c r="E21" s="453">
        <v>46838</v>
      </c>
      <c r="F21" s="454">
        <f t="shared" si="0"/>
        <v>1209082.6893199999</v>
      </c>
      <c r="G21" s="327">
        <f t="shared" si="1"/>
        <v>4.5612128436150035E-2</v>
      </c>
      <c r="H21" s="454">
        <f t="shared" si="2"/>
        <v>31167581.561077811</v>
      </c>
      <c r="I21" s="24"/>
    </row>
    <row r="22" spans="1:9" x14ac:dyDescent="0.2">
      <c r="A22" s="434">
        <v>12</v>
      </c>
      <c r="B22" s="330" t="s">
        <v>245</v>
      </c>
      <c r="C22" s="305">
        <v>26.15681</v>
      </c>
      <c r="D22" s="453">
        <v>0.15432044860120858</v>
      </c>
      <c r="E22" s="453">
        <v>3338</v>
      </c>
      <c r="F22" s="454">
        <f t="shared" si="0"/>
        <v>87311.431779999999</v>
      </c>
      <c r="G22" s="327">
        <f t="shared" si="1"/>
        <v>3.2506359093016101E-3</v>
      </c>
      <c r="H22" s="454">
        <f t="shared" si="2"/>
        <v>265350.32195428974</v>
      </c>
      <c r="I22" s="24"/>
    </row>
    <row r="23" spans="1:9" x14ac:dyDescent="0.2">
      <c r="A23" s="434">
        <v>13</v>
      </c>
      <c r="B23" s="330" t="s">
        <v>246</v>
      </c>
      <c r="C23" s="305">
        <v>25.295120000000001</v>
      </c>
      <c r="D23" s="453">
        <v>0.11517616466253096</v>
      </c>
      <c r="E23" s="453">
        <v>71162</v>
      </c>
      <c r="F23" s="454">
        <f t="shared" si="0"/>
        <v>1800051.32944</v>
      </c>
      <c r="G23" s="327">
        <f t="shared" si="1"/>
        <v>6.9299506464266372E-2</v>
      </c>
      <c r="H23" s="454">
        <f t="shared" si="2"/>
        <v>67177140.865121052</v>
      </c>
      <c r="I23" s="24"/>
    </row>
    <row r="24" spans="1:9" x14ac:dyDescent="0.2">
      <c r="A24" s="434">
        <v>14</v>
      </c>
      <c r="B24" s="330" t="s">
        <v>247</v>
      </c>
      <c r="C24" s="305">
        <v>25.379840000000002</v>
      </c>
      <c r="D24" s="453">
        <v>0.10369325423722824</v>
      </c>
      <c r="E24" s="453">
        <v>44825</v>
      </c>
      <c r="F24" s="454">
        <f t="shared" si="0"/>
        <v>1137651.328</v>
      </c>
      <c r="G24" s="327">
        <f t="shared" si="1"/>
        <v>4.3651813850942078E-2</v>
      </c>
      <c r="H24" s="454">
        <f t="shared" si="2"/>
        <v>21604369.929036323</v>
      </c>
      <c r="I24" s="24"/>
    </row>
    <row r="25" spans="1:9" x14ac:dyDescent="0.2">
      <c r="A25" s="434">
        <v>15</v>
      </c>
      <c r="B25" s="330" t="s">
        <v>248</v>
      </c>
      <c r="C25" s="305">
        <v>25.828469999999999</v>
      </c>
      <c r="D25" s="453">
        <v>0.11632832131024187</v>
      </c>
      <c r="E25" s="453">
        <v>39366</v>
      </c>
      <c r="F25" s="454">
        <f t="shared" si="0"/>
        <v>1016763.55002</v>
      </c>
      <c r="G25" s="327">
        <f t="shared" si="1"/>
        <v>3.8335689995676207E-2</v>
      </c>
      <c r="H25" s="454">
        <f t="shared" si="2"/>
        <v>20970727.56529925</v>
      </c>
      <c r="I25" s="24"/>
    </row>
    <row r="26" spans="1:9" x14ac:dyDescent="0.2">
      <c r="A26" s="434">
        <v>16</v>
      </c>
      <c r="B26" s="330" t="s">
        <v>249</v>
      </c>
      <c r="C26" s="305">
        <v>25.67821</v>
      </c>
      <c r="D26" s="453">
        <v>0.11339777812517327</v>
      </c>
      <c r="E26" s="453">
        <v>18134</v>
      </c>
      <c r="F26" s="454">
        <f t="shared" si="0"/>
        <v>465648.66013999999</v>
      </c>
      <c r="G26" s="327">
        <f t="shared" si="1"/>
        <v>1.7659386332916534E-2</v>
      </c>
      <c r="H26" s="454">
        <f t="shared" si="2"/>
        <v>4228597.1548861656</v>
      </c>
      <c r="I26" s="24"/>
    </row>
    <row r="27" spans="1:9" x14ac:dyDescent="0.2">
      <c r="A27" s="434">
        <v>17</v>
      </c>
      <c r="B27" s="330" t="s">
        <v>250</v>
      </c>
      <c r="C27" s="305">
        <v>25.694120000000002</v>
      </c>
      <c r="D27" s="453">
        <v>0.11426013864839625</v>
      </c>
      <c r="E27" s="453">
        <v>34058</v>
      </c>
      <c r="F27" s="454">
        <f t="shared" si="0"/>
        <v>875090.33896000008</v>
      </c>
      <c r="G27" s="327">
        <f t="shared" si="1"/>
        <v>3.3166614079986285E-2</v>
      </c>
      <c r="H27" s="454">
        <f t="shared" si="2"/>
        <v>15143552.786438862</v>
      </c>
      <c r="I27" s="24"/>
    </row>
    <row r="28" spans="1:9" x14ac:dyDescent="0.2">
      <c r="A28" s="434">
        <v>18</v>
      </c>
      <c r="B28" s="330" t="s">
        <v>251</v>
      </c>
      <c r="C28" s="305">
        <v>25.783639999999998</v>
      </c>
      <c r="D28" s="453">
        <v>0.11687114655054837</v>
      </c>
      <c r="E28" s="453">
        <v>75423</v>
      </c>
      <c r="F28" s="454">
        <f t="shared" si="0"/>
        <v>1944679.4797199999</v>
      </c>
      <c r="G28" s="327">
        <f t="shared" si="1"/>
        <v>7.3448985077068707E-2</v>
      </c>
      <c r="H28" s="454">
        <f t="shared" si="2"/>
        <v>77700213.984914318</v>
      </c>
      <c r="I28" s="24"/>
    </row>
    <row r="29" spans="1:9" x14ac:dyDescent="0.2">
      <c r="A29" s="434">
        <v>19</v>
      </c>
      <c r="B29" s="330" t="s">
        <v>252</v>
      </c>
      <c r="C29" s="305">
        <v>24.627829999999999</v>
      </c>
      <c r="D29" s="453">
        <v>6.1772443313619675E-2</v>
      </c>
      <c r="E29" s="453">
        <v>259739</v>
      </c>
      <c r="F29" s="454">
        <f t="shared" si="0"/>
        <v>6396807.9363700002</v>
      </c>
      <c r="G29" s="327">
        <f t="shared" si="1"/>
        <v>0.25294095879151912</v>
      </c>
      <c r="H29" s="454">
        <f t="shared" si="2"/>
        <v>257432804.14417341</v>
      </c>
      <c r="I29" s="24"/>
    </row>
    <row r="30" spans="1:9" x14ac:dyDescent="0.2">
      <c r="A30" s="434">
        <v>20</v>
      </c>
      <c r="B30" s="330"/>
      <c r="C30" s="305"/>
      <c r="D30" s="453"/>
      <c r="E30" s="453"/>
      <c r="F30" s="455" t="str">
        <f t="shared" si="0"/>
        <v/>
      </c>
      <c r="G30" s="327" t="str">
        <f t="shared" si="1"/>
        <v/>
      </c>
      <c r="H30" s="455" t="str">
        <f t="shared" si="2"/>
        <v/>
      </c>
      <c r="I30" s="24"/>
    </row>
    <row r="31" spans="1:9" x14ac:dyDescent="0.2">
      <c r="A31" s="434">
        <v>21</v>
      </c>
      <c r="B31" s="330"/>
      <c r="C31" s="305"/>
      <c r="D31" s="453"/>
      <c r="E31" s="453"/>
      <c r="F31" s="455" t="str">
        <f t="shared" si="0"/>
        <v/>
      </c>
      <c r="G31" s="327" t="str">
        <f t="shared" si="1"/>
        <v/>
      </c>
      <c r="H31" s="455" t="str">
        <f t="shared" si="2"/>
        <v/>
      </c>
      <c r="I31" s="24"/>
    </row>
    <row r="32" spans="1:9" x14ac:dyDescent="0.2">
      <c r="A32" s="434">
        <v>22</v>
      </c>
      <c r="B32" s="330"/>
      <c r="C32" s="305"/>
      <c r="D32" s="453"/>
      <c r="E32" s="453"/>
      <c r="F32" s="455" t="str">
        <f>IF(D32&gt;0,C32*E32,"")</f>
        <v/>
      </c>
      <c r="G32" s="327" t="str">
        <f>IF(D32&gt;0,E32/E$37,"")</f>
        <v/>
      </c>
      <c r="H32" s="455" t="str">
        <f>IF(E32&gt;0,D32^2*E32^2,"")</f>
        <v/>
      </c>
      <c r="I32" s="24"/>
    </row>
    <row r="33" spans="1:9" x14ac:dyDescent="0.2">
      <c r="A33" s="434">
        <v>23</v>
      </c>
      <c r="B33" s="330"/>
      <c r="C33" s="305"/>
      <c r="D33" s="453"/>
      <c r="E33" s="453"/>
      <c r="F33" s="455" t="str">
        <f>IF(D33&gt;0,C33*E33,"")</f>
        <v/>
      </c>
      <c r="G33" s="327" t="str">
        <f>IF(D33&gt;0,E33/E$37,"")</f>
        <v/>
      </c>
      <c r="H33" s="455" t="str">
        <f>IF(E33&gt;0,D33^2*E33^2,"")</f>
        <v/>
      </c>
      <c r="I33" s="24"/>
    </row>
    <row r="34" spans="1:9" x14ac:dyDescent="0.2">
      <c r="A34" s="434">
        <v>24</v>
      </c>
      <c r="B34" s="330"/>
      <c r="C34" s="305"/>
      <c r="D34" s="453"/>
      <c r="E34" s="453"/>
      <c r="F34" s="455" t="str">
        <f>IF(D34&gt;0,C34*E34,"")</f>
        <v/>
      </c>
      <c r="G34" s="327" t="str">
        <f>IF(D34&gt;0,E34/E$37,"")</f>
        <v/>
      </c>
      <c r="H34" s="455" t="str">
        <f>IF(E34&gt;0,D34^2*E34^2,"")</f>
        <v/>
      </c>
      <c r="I34" s="24"/>
    </row>
    <row r="35" spans="1:9" x14ac:dyDescent="0.2">
      <c r="A35" s="434">
        <v>25</v>
      </c>
      <c r="B35" s="330"/>
      <c r="C35" s="305"/>
      <c r="D35" s="453"/>
      <c r="E35" s="453"/>
      <c r="F35" s="455" t="str">
        <f>IF(D35&gt;0,C35*E35,"")</f>
        <v/>
      </c>
      <c r="G35" s="327" t="str">
        <f>IF(D35&gt;0,E35/E$37,"")</f>
        <v/>
      </c>
      <c r="H35" s="455" t="str">
        <f>IF(E35&gt;0,D35^2*E35^2,"")</f>
        <v/>
      </c>
      <c r="I35" s="24"/>
    </row>
    <row r="36" spans="1:9" x14ac:dyDescent="0.2">
      <c r="A36" s="434">
        <v>26</v>
      </c>
      <c r="B36" s="331"/>
      <c r="C36" s="306"/>
      <c r="D36" s="456"/>
      <c r="E36" s="456"/>
      <c r="F36" s="457" t="str">
        <f>IF(D36&gt;0,C36*E36,"")</f>
        <v/>
      </c>
      <c r="G36" s="328" t="str">
        <f>IF(D36&gt;0,E36/E$37,"")</f>
        <v/>
      </c>
      <c r="H36" s="457" t="str">
        <f>IF(E36&gt;0,D36^2*E36^2,"")</f>
        <v/>
      </c>
      <c r="I36" s="24"/>
    </row>
    <row r="37" spans="1:9" x14ac:dyDescent="0.2">
      <c r="A37" s="24"/>
      <c r="B37" s="332" t="s">
        <v>173</v>
      </c>
      <c r="C37" s="458"/>
      <c r="D37" s="459"/>
      <c r="E37" s="451">
        <f>SUM(E11:E36)</f>
        <v>1026876</v>
      </c>
      <c r="F37" s="452">
        <f>SUM(F11:F36)</f>
        <v>26094747.271179996</v>
      </c>
      <c r="G37" s="322">
        <f>IF(E37&gt;0,E37/E$37,"")</f>
        <v>1</v>
      </c>
      <c r="H37" s="452">
        <f>SUM(H11:H36)</f>
        <v>792961037.20764589</v>
      </c>
      <c r="I37" s="24"/>
    </row>
    <row r="38" spans="1:9" s="320" customFormat="1" ht="15" customHeight="1" x14ac:dyDescent="0.2">
      <c r="A38" s="324"/>
      <c r="B38" s="324"/>
      <c r="C38" s="324"/>
      <c r="D38" s="324"/>
      <c r="E38" s="324"/>
      <c r="F38" s="324"/>
      <c r="G38" s="324"/>
      <c r="H38" s="324"/>
      <c r="I38" s="324"/>
    </row>
    <row r="39" spans="1:9" x14ac:dyDescent="0.2">
      <c r="A39" s="24"/>
      <c r="B39" s="24"/>
      <c r="C39" s="24"/>
      <c r="D39" s="24"/>
      <c r="E39" s="24"/>
      <c r="F39" s="24"/>
      <c r="G39" s="24"/>
      <c r="H39" s="24"/>
      <c r="I39" s="24"/>
    </row>
    <row r="40" spans="1:9" x14ac:dyDescent="0.2">
      <c r="A40" s="24"/>
      <c r="B40" s="24"/>
      <c r="C40" s="24"/>
      <c r="D40" s="24"/>
      <c r="E40" s="24"/>
      <c r="F40" s="24"/>
      <c r="G40" s="24"/>
      <c r="H40" s="24"/>
      <c r="I40" s="24"/>
    </row>
    <row r="41" spans="1:9" x14ac:dyDescent="0.2">
      <c r="A41" s="24"/>
      <c r="B41" s="321"/>
      <c r="C41" s="433" t="s">
        <v>118</v>
      </c>
      <c r="D41" s="434" t="s">
        <v>4</v>
      </c>
      <c r="E41" s="473" t="s">
        <v>18</v>
      </c>
      <c r="F41" s="472"/>
      <c r="G41" s="24"/>
      <c r="H41" s="24"/>
      <c r="I41" s="24"/>
    </row>
    <row r="42" spans="1:9" x14ac:dyDescent="0.2">
      <c r="A42" s="24"/>
      <c r="B42" s="443" t="s">
        <v>204</v>
      </c>
      <c r="C42" s="441">
        <f>F37/E37</f>
        <v>25.411780264783669</v>
      </c>
      <c r="D42" s="323">
        <f>SQRT(H37)/E37</f>
        <v>2.7422555272006609E-2</v>
      </c>
      <c r="E42" s="410">
        <f>C42-1.96*D42</f>
        <v>25.358032056450536</v>
      </c>
      <c r="F42" s="325">
        <f>C42+1.96*D42</f>
        <v>25.465528473116802</v>
      </c>
      <c r="G42" s="24"/>
      <c r="H42" s="24"/>
      <c r="I42" s="24"/>
    </row>
    <row r="43" spans="1:9" x14ac:dyDescent="0.2">
      <c r="A43" s="24"/>
      <c r="B43" s="442" t="s">
        <v>221</v>
      </c>
      <c r="C43" s="458">
        <f>EXP(C42)</f>
        <v>108691590609.59309</v>
      </c>
      <c r="D43" s="460"/>
      <c r="E43" s="458">
        <f>EXP(E42)</f>
        <v>103003834892.66093</v>
      </c>
      <c r="F43" s="458">
        <f>EXP(F42)</f>
        <v>114693417789.29366</v>
      </c>
      <c r="G43" s="24" t="s">
        <v>267</v>
      </c>
      <c r="H43" s="24"/>
      <c r="I43" s="24"/>
    </row>
    <row r="44" spans="1:9" x14ac:dyDescent="0.2">
      <c r="A44" s="24"/>
      <c r="B44" s="24"/>
      <c r="C44" s="24"/>
      <c r="D44" s="24"/>
      <c r="E44" s="24"/>
      <c r="F44" s="24"/>
      <c r="G44" s="24"/>
      <c r="H44" s="24"/>
      <c r="I44" s="24"/>
    </row>
    <row r="45" spans="1:9" x14ac:dyDescent="0.2">
      <c r="A45" s="24"/>
      <c r="B45" s="437" t="s">
        <v>218</v>
      </c>
      <c r="C45" s="351">
        <v>25</v>
      </c>
      <c r="D45" s="438" t="s">
        <v>22</v>
      </c>
      <c r="E45" s="184">
        <f>(C42-C45)/D42</f>
        <v>15.016115774011075</v>
      </c>
      <c r="F45" s="438" t="s">
        <v>119</v>
      </c>
      <c r="G45" s="411">
        <f>2*(1-NORMSDIST(ABS(E45)))</f>
        <v>0</v>
      </c>
      <c r="H45" s="24"/>
      <c r="I45" s="24"/>
    </row>
    <row r="46" spans="1:9" x14ac:dyDescent="0.2">
      <c r="A46" s="24"/>
      <c r="B46" s="24"/>
      <c r="C46" s="24"/>
      <c r="D46" s="24"/>
      <c r="E46" s="24"/>
      <c r="F46" s="24"/>
      <c r="G46" s="24"/>
      <c r="H46" s="24"/>
      <c r="I46" s="24"/>
    </row>
    <row r="47" spans="1:9" x14ac:dyDescent="0.2">
      <c r="A47" s="24"/>
      <c r="B47" s="24"/>
      <c r="C47" s="24"/>
      <c r="D47" s="24"/>
      <c r="E47" s="24"/>
      <c r="F47" s="24"/>
      <c r="G47" s="24"/>
      <c r="H47" s="24"/>
      <c r="I47" s="24"/>
    </row>
    <row r="48" spans="1:9" ht="17.25" customHeight="1" x14ac:dyDescent="0.2">
      <c r="A48" s="24"/>
      <c r="B48" s="25" t="s">
        <v>233</v>
      </c>
      <c r="C48" s="24"/>
      <c r="D48" s="24"/>
      <c r="E48" s="24"/>
      <c r="F48" s="24"/>
      <c r="G48" s="24"/>
      <c r="H48" s="24"/>
      <c r="I48" s="24"/>
    </row>
    <row r="49" spans="1:9" x14ac:dyDescent="0.2">
      <c r="A49" s="434" t="s">
        <v>230</v>
      </c>
      <c r="B49" s="434" t="s">
        <v>231</v>
      </c>
      <c r="C49" s="59" t="s">
        <v>118</v>
      </c>
      <c r="D49" s="436" t="s">
        <v>4</v>
      </c>
      <c r="E49" s="46"/>
      <c r="F49" s="46"/>
      <c r="G49" s="24"/>
      <c r="H49" s="24"/>
      <c r="I49" s="24"/>
    </row>
    <row r="50" spans="1:9" x14ac:dyDescent="0.2">
      <c r="A50" s="420">
        <v>14</v>
      </c>
      <c r="B50" s="329" t="str">
        <f>VLOOKUP(A50,A11:E36,2)</f>
        <v>Skanderborg</v>
      </c>
      <c r="C50" s="339">
        <f>VLOOKUP(A50,A11:E36,3)</f>
        <v>25.379840000000002</v>
      </c>
      <c r="D50" s="340">
        <f>VLOOKUP(A50,A11:E36,4)</f>
        <v>0.10369325423722824</v>
      </c>
      <c r="E50" s="46"/>
      <c r="F50" s="46"/>
      <c r="G50" s="24"/>
      <c r="H50" s="24"/>
      <c r="I50" s="24"/>
    </row>
    <row r="51" spans="1:9" x14ac:dyDescent="0.2">
      <c r="A51" s="420">
        <v>19</v>
      </c>
      <c r="B51" s="338" t="str">
        <f>VLOOKUP(A51,A11:E36,2)</f>
        <v>Aarhus</v>
      </c>
      <c r="C51" s="315">
        <f>VLOOKUP(A51,A11:E36,3)</f>
        <v>24.627829999999999</v>
      </c>
      <c r="D51" s="313">
        <f>VLOOKUP(A51,A11:E36,4)</f>
        <v>6.1772443313619675E-2</v>
      </c>
      <c r="E51" s="471" t="s">
        <v>18</v>
      </c>
      <c r="F51" s="472"/>
      <c r="G51" s="24"/>
      <c r="H51" s="24"/>
      <c r="I51" s="24"/>
    </row>
    <row r="52" spans="1:9" x14ac:dyDescent="0.2">
      <c r="A52" s="24"/>
      <c r="B52" s="338" t="s">
        <v>107</v>
      </c>
      <c r="C52" s="315">
        <f>C50-C51</f>
        <v>0.75201000000000207</v>
      </c>
      <c r="D52" s="313">
        <f>SQRT(D50^2+D51^2)</f>
        <v>0.12069849098990761</v>
      </c>
      <c r="E52" s="341">
        <f>C52-1.96*D52</f>
        <v>0.51544095765978315</v>
      </c>
      <c r="F52" s="313">
        <f>C52+1.96*D52</f>
        <v>0.98857904234022098</v>
      </c>
      <c r="G52" s="24"/>
      <c r="H52" s="24"/>
      <c r="I52" s="24"/>
    </row>
    <row r="53" spans="1:9" x14ac:dyDescent="0.2">
      <c r="A53" s="24"/>
      <c r="B53" s="90" t="s">
        <v>221</v>
      </c>
      <c r="C53" s="458">
        <f>EXP(C52)</f>
        <v>2.1212594659586133</v>
      </c>
      <c r="D53" s="460"/>
      <c r="E53" s="458">
        <f>EXP(E52)</f>
        <v>1.6743766682527204</v>
      </c>
      <c r="F53" s="458">
        <f>EXP(F52)</f>
        <v>2.6874130577886532</v>
      </c>
      <c r="G53" s="24" t="s">
        <v>267</v>
      </c>
      <c r="H53" s="24"/>
      <c r="I53" s="24"/>
    </row>
    <row r="54" spans="1:9" x14ac:dyDescent="0.2">
      <c r="A54" s="24"/>
      <c r="B54" s="40"/>
      <c r="C54" s="191"/>
      <c r="D54" s="191"/>
      <c r="E54" s="191"/>
      <c r="F54" s="191"/>
      <c r="G54" s="24"/>
      <c r="H54" s="24"/>
      <c r="I54" s="24"/>
    </row>
    <row r="55" spans="1:9" x14ac:dyDescent="0.2">
      <c r="A55" s="24"/>
      <c r="B55" s="437" t="s">
        <v>219</v>
      </c>
      <c r="C55" s="351">
        <v>0</v>
      </c>
      <c r="D55" s="438" t="s">
        <v>22</v>
      </c>
      <c r="E55" s="184">
        <f>(C52-C55)/D52</f>
        <v>6.2304838596771068</v>
      </c>
      <c r="F55" s="438" t="s">
        <v>119</v>
      </c>
      <c r="G55" s="411">
        <f>2*(1-NORMSDIST(ABS(E55)))</f>
        <v>4.6499670780519864E-10</v>
      </c>
      <c r="H55" s="24"/>
      <c r="I55" s="24"/>
    </row>
  </sheetData>
  <sheetProtection sheet="1" objects="1" scenarios="1" formatCells="0" formatColumns="0"/>
  <mergeCells count="11">
    <mergeCell ref="E41:F41"/>
    <mergeCell ref="E51:F51"/>
    <mergeCell ref="H9:H10"/>
    <mergeCell ref="C2:F2"/>
    <mergeCell ref="G9:G10"/>
    <mergeCell ref="F9:F10"/>
    <mergeCell ref="B6:G6"/>
    <mergeCell ref="B7:G7"/>
    <mergeCell ref="G1:G2"/>
    <mergeCell ref="C1:F1"/>
    <mergeCell ref="A9:B9"/>
  </mergeCells>
  <phoneticPr fontId="9" type="noConversion"/>
  <hyperlinks>
    <hyperlink ref="G1:G2" location="Start!A1" display="Start"/>
  </hyperlinks>
  <pageMargins left="0.75" right="0.75" top="1" bottom="1" header="0" footer="0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/>
  <dimension ref="A1:I41"/>
  <sheetViews>
    <sheetView topLeftCell="A7" workbookViewId="0">
      <selection activeCell="C32" sqref="C32"/>
    </sheetView>
  </sheetViews>
  <sheetFormatPr defaultRowHeight="12.75" x14ac:dyDescent="0.2"/>
  <cols>
    <col min="1" max="1" width="14" customWidth="1"/>
    <col min="5" max="5" width="5.28515625" customWidth="1"/>
    <col min="6" max="9" width="8.7109375" customWidth="1"/>
  </cols>
  <sheetData>
    <row r="1" spans="1:9" ht="12" customHeight="1" x14ac:dyDescent="0.2">
      <c r="A1" s="7" t="s">
        <v>180</v>
      </c>
      <c r="B1" s="494" t="s">
        <v>181</v>
      </c>
      <c r="C1" s="494"/>
      <c r="I1" s="475" t="s">
        <v>186</v>
      </c>
    </row>
    <row r="2" spans="1:9" ht="12" customHeight="1" x14ac:dyDescent="0.2">
      <c r="H2" s="299"/>
      <c r="I2" s="476"/>
    </row>
    <row r="3" spans="1:9" ht="12" customHeight="1" x14ac:dyDescent="0.2">
      <c r="A3" s="24"/>
      <c r="B3" s="24"/>
      <c r="C3" s="24"/>
      <c r="D3" s="24"/>
      <c r="E3" s="24"/>
      <c r="F3" s="24"/>
      <c r="G3" s="24"/>
    </row>
    <row r="4" spans="1:9" ht="12" customHeight="1" x14ac:dyDescent="0.2">
      <c r="A4" s="24"/>
      <c r="B4" s="24"/>
      <c r="C4" s="24"/>
      <c r="D4" s="24"/>
      <c r="E4" s="24"/>
      <c r="F4" s="24"/>
      <c r="G4" s="24"/>
      <c r="H4" s="24"/>
    </row>
    <row r="5" spans="1:9" ht="12" customHeight="1" x14ac:dyDescent="0.2">
      <c r="A5" s="24"/>
      <c r="B5" s="544" t="s">
        <v>72</v>
      </c>
      <c r="C5" s="544"/>
      <c r="D5" s="544"/>
      <c r="F5" s="544" t="s">
        <v>138</v>
      </c>
      <c r="G5" s="544"/>
      <c r="H5" s="544"/>
      <c r="I5" s="544"/>
    </row>
    <row r="6" spans="1:9" ht="12" customHeight="1" x14ac:dyDescent="0.2">
      <c r="A6" s="24"/>
      <c r="B6" s="24"/>
      <c r="C6" s="24"/>
      <c r="D6" s="24"/>
      <c r="E6" s="24"/>
      <c r="F6" s="307"/>
      <c r="G6" s="307"/>
      <c r="H6" s="40"/>
    </row>
    <row r="7" spans="1:9" ht="12" customHeight="1" x14ac:dyDescent="0.2">
      <c r="A7" s="255" t="s">
        <v>73</v>
      </c>
      <c r="B7" s="256" t="s">
        <v>49</v>
      </c>
      <c r="C7" s="256" t="s">
        <v>29</v>
      </c>
      <c r="D7" s="24"/>
      <c r="E7" s="24"/>
      <c r="F7" s="26" t="s">
        <v>29</v>
      </c>
      <c r="G7" s="27" t="s">
        <v>49</v>
      </c>
      <c r="H7" s="49"/>
    </row>
    <row r="8" spans="1:9" ht="12" customHeight="1" x14ac:dyDescent="0.2">
      <c r="A8" s="24"/>
      <c r="B8" s="257">
        <v>1.96</v>
      </c>
      <c r="C8" s="258">
        <f t="shared" ref="C8:C15" si="0">IF(B8,2*(1-NORMSDIST(ABS(B8))),"")</f>
        <v>4.9995790296440967E-2</v>
      </c>
      <c r="D8" s="24"/>
      <c r="E8" s="24"/>
      <c r="F8" s="259">
        <v>0.05</v>
      </c>
      <c r="G8" s="260">
        <f t="shared" ref="G8:G15" si="1">IF(F8,NORMSINV(1-F8/2),"")</f>
        <v>1.9599639845400536</v>
      </c>
      <c r="H8" s="46"/>
    </row>
    <row r="9" spans="1:9" ht="12" customHeight="1" x14ac:dyDescent="0.2">
      <c r="A9" s="24"/>
      <c r="B9" s="261"/>
      <c r="C9" s="258" t="str">
        <f t="shared" si="0"/>
        <v/>
      </c>
      <c r="D9" s="24"/>
      <c r="E9" s="24"/>
      <c r="F9" s="262">
        <v>0.1</v>
      </c>
      <c r="G9" s="263">
        <f t="shared" si="1"/>
        <v>1.6448536269514715</v>
      </c>
      <c r="H9" s="46"/>
    </row>
    <row r="10" spans="1:9" ht="12" customHeight="1" x14ac:dyDescent="0.2">
      <c r="A10" s="24"/>
      <c r="B10" s="261"/>
      <c r="C10" s="258" t="str">
        <f t="shared" si="0"/>
        <v/>
      </c>
      <c r="D10" s="24"/>
      <c r="E10" s="24"/>
      <c r="F10" s="262">
        <v>0.2</v>
      </c>
      <c r="G10" s="263">
        <f t="shared" si="1"/>
        <v>1.2815515655446006</v>
      </c>
      <c r="H10" s="46"/>
    </row>
    <row r="11" spans="1:9" ht="12" customHeight="1" x14ac:dyDescent="0.2">
      <c r="A11" s="24"/>
      <c r="B11" s="261"/>
      <c r="C11" s="258" t="str">
        <f t="shared" si="0"/>
        <v/>
      </c>
      <c r="D11" s="24"/>
      <c r="E11" s="24"/>
      <c r="F11" s="262"/>
      <c r="G11" s="263" t="str">
        <f t="shared" si="1"/>
        <v/>
      </c>
      <c r="H11" s="46"/>
    </row>
    <row r="12" spans="1:9" ht="12" customHeight="1" x14ac:dyDescent="0.2">
      <c r="A12" s="24"/>
      <c r="B12" s="261"/>
      <c r="C12" s="258" t="str">
        <f t="shared" si="0"/>
        <v/>
      </c>
      <c r="D12" s="24"/>
      <c r="E12" s="24"/>
      <c r="F12" s="262"/>
      <c r="G12" s="263" t="str">
        <f t="shared" si="1"/>
        <v/>
      </c>
      <c r="H12" s="46"/>
    </row>
    <row r="13" spans="1:9" ht="12" customHeight="1" x14ac:dyDescent="0.2">
      <c r="A13" s="24"/>
      <c r="B13" s="261"/>
      <c r="C13" s="258" t="str">
        <f t="shared" si="0"/>
        <v/>
      </c>
      <c r="D13" s="24"/>
      <c r="E13" s="24"/>
      <c r="F13" s="262"/>
      <c r="G13" s="263" t="str">
        <f t="shared" si="1"/>
        <v/>
      </c>
      <c r="H13" s="46"/>
    </row>
    <row r="14" spans="1:9" ht="12" customHeight="1" x14ac:dyDescent="0.2">
      <c r="A14" s="24"/>
      <c r="B14" s="261"/>
      <c r="C14" s="258" t="str">
        <f t="shared" si="0"/>
        <v/>
      </c>
      <c r="D14" s="24"/>
      <c r="E14" s="24"/>
      <c r="F14" s="264"/>
      <c r="G14" s="263" t="str">
        <f t="shared" si="1"/>
        <v/>
      </c>
      <c r="H14" s="46"/>
    </row>
    <row r="15" spans="1:9" ht="12" customHeight="1" x14ac:dyDescent="0.2">
      <c r="A15" s="24"/>
      <c r="B15" s="265"/>
      <c r="C15" s="266" t="str">
        <f t="shared" si="0"/>
        <v/>
      </c>
      <c r="D15" s="24"/>
      <c r="E15" s="24"/>
      <c r="F15" s="267"/>
      <c r="G15" s="268" t="str">
        <f t="shared" si="1"/>
        <v/>
      </c>
      <c r="H15" s="46"/>
    </row>
    <row r="16" spans="1:9" ht="12" customHeight="1" x14ac:dyDescent="0.2">
      <c r="A16" s="24"/>
      <c r="B16" s="24"/>
      <c r="C16" s="24"/>
      <c r="D16" s="24"/>
      <c r="E16" s="24"/>
      <c r="F16" s="46"/>
      <c r="G16" s="46"/>
      <c r="H16" s="46"/>
    </row>
    <row r="17" spans="1:8" ht="12" customHeight="1" x14ac:dyDescent="0.2">
      <c r="A17" s="24"/>
      <c r="B17" s="24"/>
      <c r="C17" s="24"/>
      <c r="D17" s="24"/>
      <c r="E17" s="24"/>
      <c r="F17" s="46"/>
      <c r="G17" s="46"/>
      <c r="H17" s="46"/>
    </row>
    <row r="18" spans="1:8" ht="12" customHeight="1" x14ac:dyDescent="0.2">
      <c r="A18" s="255" t="s">
        <v>74</v>
      </c>
      <c r="B18" s="27" t="s">
        <v>71</v>
      </c>
      <c r="C18" s="27" t="s">
        <v>140</v>
      </c>
      <c r="D18" s="27" t="s">
        <v>29</v>
      </c>
      <c r="E18" s="24"/>
      <c r="F18" s="26" t="s">
        <v>29</v>
      </c>
      <c r="G18" s="27" t="s">
        <v>140</v>
      </c>
      <c r="H18" s="29" t="s">
        <v>71</v>
      </c>
    </row>
    <row r="19" spans="1:8" ht="12" customHeight="1" x14ac:dyDescent="0.2">
      <c r="A19" s="24"/>
      <c r="B19" s="257">
        <v>1.96</v>
      </c>
      <c r="C19" s="304">
        <v>2</v>
      </c>
      <c r="D19" s="260">
        <f t="shared" ref="D19:D26" si="2">IF(B19,TDIST(B19,C19,2),"")</f>
        <v>0.18905730960173228</v>
      </c>
      <c r="E19" s="24"/>
      <c r="F19" s="259">
        <v>0.05</v>
      </c>
      <c r="G19" s="257">
        <v>20</v>
      </c>
      <c r="H19" s="269">
        <f t="shared" ref="H19:H26" si="3">IF(F19,TINV(F19,G19),"")</f>
        <v>2.0859634472658648</v>
      </c>
    </row>
    <row r="20" spans="1:8" ht="12" customHeight="1" x14ac:dyDescent="0.2">
      <c r="A20" s="24"/>
      <c r="B20" s="261">
        <v>2.5299999999999998</v>
      </c>
      <c r="C20" s="305">
        <v>3</v>
      </c>
      <c r="D20" s="260">
        <f t="shared" si="2"/>
        <v>8.5424119283706246E-2</v>
      </c>
      <c r="E20" s="24"/>
      <c r="F20" s="262">
        <v>0.05</v>
      </c>
      <c r="G20" s="261">
        <v>1000</v>
      </c>
      <c r="H20" s="270">
        <f t="shared" si="3"/>
        <v>1.9623390808264143</v>
      </c>
    </row>
    <row r="21" spans="1:8" ht="12" customHeight="1" x14ac:dyDescent="0.2">
      <c r="A21" s="24"/>
      <c r="B21" s="261">
        <v>1.96</v>
      </c>
      <c r="C21" s="305">
        <v>1000</v>
      </c>
      <c r="D21" s="260">
        <f t="shared" si="2"/>
        <v>5.0273184955748708E-2</v>
      </c>
      <c r="E21" s="24"/>
      <c r="F21" s="264"/>
      <c r="G21" s="261"/>
      <c r="H21" s="270" t="str">
        <f t="shared" si="3"/>
        <v/>
      </c>
    </row>
    <row r="22" spans="1:8" ht="12" customHeight="1" x14ac:dyDescent="0.2">
      <c r="A22" s="24"/>
      <c r="B22" s="261"/>
      <c r="C22" s="305"/>
      <c r="D22" s="260" t="str">
        <f t="shared" si="2"/>
        <v/>
      </c>
      <c r="E22" s="24"/>
      <c r="F22" s="264"/>
      <c r="G22" s="261"/>
      <c r="H22" s="270" t="str">
        <f t="shared" si="3"/>
        <v/>
      </c>
    </row>
    <row r="23" spans="1:8" ht="12" customHeight="1" x14ac:dyDescent="0.2">
      <c r="A23" s="24"/>
      <c r="B23" s="261"/>
      <c r="C23" s="305"/>
      <c r="D23" s="260" t="str">
        <f t="shared" si="2"/>
        <v/>
      </c>
      <c r="E23" s="24"/>
      <c r="F23" s="264"/>
      <c r="G23" s="261"/>
      <c r="H23" s="270" t="str">
        <f t="shared" si="3"/>
        <v/>
      </c>
    </row>
    <row r="24" spans="1:8" ht="12" customHeight="1" x14ac:dyDescent="0.2">
      <c r="A24" s="24"/>
      <c r="B24" s="261"/>
      <c r="C24" s="305"/>
      <c r="D24" s="260" t="str">
        <f t="shared" si="2"/>
        <v/>
      </c>
      <c r="E24" s="24"/>
      <c r="F24" s="264"/>
      <c r="G24" s="261"/>
      <c r="H24" s="270" t="str">
        <f t="shared" si="3"/>
        <v/>
      </c>
    </row>
    <row r="25" spans="1:8" ht="12" customHeight="1" x14ac:dyDescent="0.2">
      <c r="A25" s="24"/>
      <c r="B25" s="261"/>
      <c r="C25" s="305"/>
      <c r="D25" s="260" t="str">
        <f t="shared" si="2"/>
        <v/>
      </c>
      <c r="E25" s="24"/>
      <c r="F25" s="264"/>
      <c r="G25" s="261"/>
      <c r="H25" s="270" t="str">
        <f t="shared" si="3"/>
        <v/>
      </c>
    </row>
    <row r="26" spans="1:8" ht="12" customHeight="1" x14ac:dyDescent="0.2">
      <c r="A26" s="24"/>
      <c r="B26" s="265"/>
      <c r="C26" s="306"/>
      <c r="D26" s="43" t="str">
        <f t="shared" si="2"/>
        <v/>
      </c>
      <c r="E26" s="24"/>
      <c r="F26" s="267"/>
      <c r="G26" s="265"/>
      <c r="H26" s="271" t="str">
        <f t="shared" si="3"/>
        <v/>
      </c>
    </row>
    <row r="27" spans="1:8" ht="12" customHeight="1" x14ac:dyDescent="0.2">
      <c r="A27" s="24"/>
      <c r="B27" s="24"/>
      <c r="C27" s="24"/>
      <c r="D27" s="24"/>
      <c r="E27" s="24"/>
      <c r="F27" s="46"/>
      <c r="G27" s="46"/>
      <c r="H27" s="46"/>
    </row>
    <row r="28" spans="1:8" ht="12" customHeight="1" x14ac:dyDescent="0.2">
      <c r="A28" s="24"/>
      <c r="B28" s="24"/>
      <c r="C28" s="24"/>
      <c r="D28" s="24"/>
      <c r="E28" s="24"/>
      <c r="F28" s="46"/>
      <c r="G28" s="46"/>
      <c r="H28" s="46"/>
    </row>
    <row r="29" spans="1:8" ht="12" customHeight="1" x14ac:dyDescent="0.2">
      <c r="A29" s="272" t="s">
        <v>121</v>
      </c>
      <c r="B29" s="273" t="s">
        <v>122</v>
      </c>
      <c r="C29" s="27" t="s">
        <v>140</v>
      </c>
      <c r="D29" s="27" t="s">
        <v>29</v>
      </c>
      <c r="E29" s="24"/>
      <c r="F29" s="26" t="s">
        <v>29</v>
      </c>
      <c r="G29" s="27" t="s">
        <v>140</v>
      </c>
      <c r="H29" s="274" t="s">
        <v>122</v>
      </c>
    </row>
    <row r="30" spans="1:8" ht="12" customHeight="1" x14ac:dyDescent="0.2">
      <c r="A30" s="24"/>
      <c r="B30" s="275">
        <v>3.84</v>
      </c>
      <c r="C30" s="276">
        <v>1</v>
      </c>
      <c r="D30" s="277">
        <f t="shared" ref="D30:D37" si="4">IF(B30,CHIDIST(B30,C30),"")</f>
        <v>5.0043521248705113E-2</v>
      </c>
      <c r="E30" s="24"/>
      <c r="F30" s="278">
        <v>0.05</v>
      </c>
      <c r="G30" s="276">
        <v>1</v>
      </c>
      <c r="H30" s="277">
        <f t="shared" ref="H30:H37" si="5">IF(F30,CHIINV(F30,G30),"")</f>
        <v>3.8414588206941236</v>
      </c>
    </row>
    <row r="31" spans="1:8" ht="12" customHeight="1" x14ac:dyDescent="0.2">
      <c r="A31" s="24"/>
      <c r="B31" s="264">
        <v>22.31</v>
      </c>
      <c r="C31" s="261">
        <v>15</v>
      </c>
      <c r="D31" s="263">
        <f t="shared" si="4"/>
        <v>9.992938292236779E-2</v>
      </c>
      <c r="E31" s="24"/>
      <c r="F31" s="264">
        <v>0.05</v>
      </c>
      <c r="G31" s="261">
        <v>1</v>
      </c>
      <c r="H31" s="263">
        <f t="shared" si="5"/>
        <v>3.8414588206941236</v>
      </c>
    </row>
    <row r="32" spans="1:8" ht="12" customHeight="1" x14ac:dyDescent="0.2">
      <c r="A32" s="24"/>
      <c r="B32" s="264"/>
      <c r="C32" s="261"/>
      <c r="D32" s="263" t="str">
        <f t="shared" si="4"/>
        <v/>
      </c>
      <c r="E32" s="24"/>
      <c r="F32" s="264">
        <v>0.1</v>
      </c>
      <c r="G32" s="261">
        <v>15</v>
      </c>
      <c r="H32" s="263">
        <f t="shared" si="5"/>
        <v>22.307129581578689</v>
      </c>
    </row>
    <row r="33" spans="1:9" ht="12" customHeight="1" x14ac:dyDescent="0.2">
      <c r="A33" s="24"/>
      <c r="B33" s="264"/>
      <c r="C33" s="261"/>
      <c r="D33" s="263" t="str">
        <f t="shared" si="4"/>
        <v/>
      </c>
      <c r="E33" s="24"/>
      <c r="F33" s="264"/>
      <c r="G33" s="261"/>
      <c r="H33" s="263" t="str">
        <f t="shared" si="5"/>
        <v/>
      </c>
    </row>
    <row r="34" spans="1:9" ht="12" customHeight="1" x14ac:dyDescent="0.2">
      <c r="A34" s="24"/>
      <c r="B34" s="264"/>
      <c r="C34" s="261"/>
      <c r="D34" s="263" t="str">
        <f t="shared" si="4"/>
        <v/>
      </c>
      <c r="E34" s="24"/>
      <c r="F34" s="264"/>
      <c r="G34" s="261"/>
      <c r="H34" s="263" t="str">
        <f t="shared" si="5"/>
        <v/>
      </c>
    </row>
    <row r="35" spans="1:9" ht="12" customHeight="1" x14ac:dyDescent="0.2">
      <c r="A35" s="24"/>
      <c r="B35" s="264"/>
      <c r="C35" s="261"/>
      <c r="D35" s="263" t="str">
        <f t="shared" si="4"/>
        <v/>
      </c>
      <c r="E35" s="24"/>
      <c r="F35" s="264"/>
      <c r="G35" s="261"/>
      <c r="H35" s="263" t="str">
        <f t="shared" si="5"/>
        <v/>
      </c>
    </row>
    <row r="36" spans="1:9" ht="12" customHeight="1" x14ac:dyDescent="0.2">
      <c r="A36" s="24"/>
      <c r="B36" s="264"/>
      <c r="C36" s="261"/>
      <c r="D36" s="263" t="str">
        <f t="shared" si="4"/>
        <v/>
      </c>
      <c r="E36" s="24"/>
      <c r="F36" s="264"/>
      <c r="G36" s="261"/>
      <c r="H36" s="263" t="str">
        <f t="shared" si="5"/>
        <v/>
      </c>
    </row>
    <row r="37" spans="1:9" ht="12" customHeight="1" x14ac:dyDescent="0.2">
      <c r="A37" s="24"/>
      <c r="B37" s="267"/>
      <c r="C37" s="265"/>
      <c r="D37" s="268" t="str">
        <f t="shared" si="4"/>
        <v/>
      </c>
      <c r="E37" s="24"/>
      <c r="F37" s="267"/>
      <c r="G37" s="265"/>
      <c r="H37" s="268" t="str">
        <f t="shared" si="5"/>
        <v/>
      </c>
    </row>
    <row r="38" spans="1:9" ht="12" customHeight="1" x14ac:dyDescent="0.2">
      <c r="A38" s="24"/>
      <c r="B38" s="24"/>
      <c r="C38" s="24"/>
      <c r="D38" s="24"/>
      <c r="E38" s="24"/>
      <c r="F38" s="24"/>
      <c r="G38" s="24"/>
      <c r="H38" s="24"/>
    </row>
    <row r="40" spans="1:9" x14ac:dyDescent="0.2">
      <c r="A40" s="308" t="s">
        <v>141</v>
      </c>
      <c r="B40" s="543" t="s">
        <v>142</v>
      </c>
      <c r="C40" s="543"/>
      <c r="D40" s="543"/>
      <c r="E40" s="543"/>
      <c r="F40" s="543"/>
      <c r="G40" s="543"/>
      <c r="H40" s="543"/>
      <c r="I40" s="543"/>
    </row>
    <row r="41" spans="1:9" x14ac:dyDescent="0.2">
      <c r="A41" s="309"/>
      <c r="B41" s="543" t="s">
        <v>139</v>
      </c>
      <c r="C41" s="543"/>
      <c r="D41" s="543"/>
      <c r="E41" s="543"/>
      <c r="F41" s="543"/>
      <c r="G41" s="543"/>
      <c r="H41" s="543"/>
      <c r="I41" s="543"/>
    </row>
  </sheetData>
  <sheetProtection sheet="1" objects="1" scenarios="1" formatCells="0" formatColumns="0"/>
  <mergeCells count="6">
    <mergeCell ref="B1:C1"/>
    <mergeCell ref="B40:I40"/>
    <mergeCell ref="B41:I41"/>
    <mergeCell ref="B5:D5"/>
    <mergeCell ref="F5:I5"/>
    <mergeCell ref="I1:I2"/>
  </mergeCells>
  <phoneticPr fontId="0" type="noConversion"/>
  <hyperlinks>
    <hyperlink ref="I1:I2" location="Start!A1" display="Start"/>
  </hyperlinks>
  <pageMargins left="0.75" right="0.75" top="1" bottom="1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workbookViewId="0">
      <selection activeCell="G3" sqref="G3"/>
    </sheetView>
  </sheetViews>
  <sheetFormatPr defaultRowHeight="12.75" x14ac:dyDescent="0.2"/>
  <cols>
    <col min="1" max="9" width="8.7109375" customWidth="1"/>
  </cols>
  <sheetData>
    <row r="1" spans="1:9" x14ac:dyDescent="0.2">
      <c r="A1" s="7" t="s">
        <v>147</v>
      </c>
      <c r="B1" s="474" t="s">
        <v>149</v>
      </c>
      <c r="C1" s="474"/>
      <c r="D1" s="474"/>
      <c r="E1" s="474"/>
      <c r="F1" s="474"/>
      <c r="G1" s="24"/>
      <c r="H1" s="24"/>
      <c r="I1" s="475" t="s">
        <v>186</v>
      </c>
    </row>
    <row r="2" spans="1:9" x14ac:dyDescent="0.2">
      <c r="A2" s="24"/>
      <c r="B2" s="24"/>
      <c r="C2" s="24"/>
      <c r="D2" s="24"/>
      <c r="E2" s="24"/>
      <c r="F2" s="24"/>
      <c r="G2" s="24"/>
      <c r="H2" s="24"/>
      <c r="I2" s="476"/>
    </row>
    <row r="3" spans="1:9" x14ac:dyDescent="0.2">
      <c r="A3" s="24"/>
      <c r="B3" s="24"/>
      <c r="C3" s="24"/>
      <c r="D3" s="24"/>
      <c r="E3" s="24"/>
      <c r="F3" s="24"/>
      <c r="G3" s="24"/>
    </row>
    <row r="4" spans="1:9" x14ac:dyDescent="0.2">
      <c r="A4" s="24"/>
      <c r="B4" s="24"/>
      <c r="C4" s="24"/>
      <c r="D4" s="24"/>
      <c r="E4" s="24"/>
      <c r="F4" s="24"/>
      <c r="G4" s="24"/>
      <c r="H4" s="24"/>
      <c r="I4" s="24"/>
    </row>
    <row r="5" spans="1:9" x14ac:dyDescent="0.2">
      <c r="A5" s="46"/>
      <c r="B5" s="46"/>
      <c r="C5" s="46"/>
      <c r="D5" s="46"/>
      <c r="E5" s="471" t="s">
        <v>146</v>
      </c>
      <c r="F5" s="472"/>
      <c r="G5" s="473" t="s">
        <v>145</v>
      </c>
      <c r="H5" s="473"/>
      <c r="I5" s="472"/>
    </row>
    <row r="6" spans="1:9" x14ac:dyDescent="0.2">
      <c r="A6" s="375" t="s">
        <v>37</v>
      </c>
      <c r="B6" s="376" t="s">
        <v>48</v>
      </c>
      <c r="C6" s="377" t="s">
        <v>39</v>
      </c>
      <c r="D6" s="29" t="s">
        <v>4</v>
      </c>
      <c r="E6" s="29" t="s">
        <v>143</v>
      </c>
      <c r="F6" s="29" t="s">
        <v>18</v>
      </c>
      <c r="G6" s="27" t="s">
        <v>140</v>
      </c>
      <c r="H6" s="26" t="s">
        <v>144</v>
      </c>
      <c r="I6" s="27" t="s">
        <v>18</v>
      </c>
    </row>
    <row r="7" spans="1:9" x14ac:dyDescent="0.2">
      <c r="A7" s="378">
        <v>16</v>
      </c>
      <c r="B7" s="379">
        <v>-0.81</v>
      </c>
      <c r="C7" s="380">
        <v>6.06</v>
      </c>
      <c r="D7" s="325">
        <f>IF(A7&gt;0,C7/SQRT(A7),"")</f>
        <v>1.5149999999999999</v>
      </c>
      <c r="E7" s="312">
        <f>IF(A7&gt;0,B7-1.96*C7,"")</f>
        <v>-12.6876</v>
      </c>
      <c r="F7" s="312">
        <f>IF(A7&gt;0,B7-1.96*D7,"")</f>
        <v>-3.7793999999999999</v>
      </c>
      <c r="G7" s="118">
        <f>IF(A7&gt;1,A7-1,"")</f>
        <v>15</v>
      </c>
      <c r="H7" s="164">
        <f>IF(A7&gt;1,TINV(0.05,G7),"")</f>
        <v>2.1314495455597742</v>
      </c>
      <c r="I7" s="314">
        <f>IF(A7&gt;1,B7-H7*D7,"")</f>
        <v>-4.0391460615230574</v>
      </c>
    </row>
    <row r="8" spans="1:9" x14ac:dyDescent="0.2">
      <c r="A8" s="46"/>
      <c r="B8" s="46"/>
      <c r="C8" s="46"/>
      <c r="D8" s="46"/>
      <c r="E8" s="315">
        <f>IF(A7&gt;0,B7+1.96*C7,"")</f>
        <v>11.067599999999999</v>
      </c>
      <c r="F8" s="313">
        <f>IF(A7&gt;0,B7+1.96*D7,"")</f>
        <v>2.1593999999999998</v>
      </c>
      <c r="G8" s="46"/>
      <c r="H8" s="198"/>
      <c r="I8" s="315">
        <f>IF(A7&gt;1,B7+H7*D7,"")</f>
        <v>2.4191460615230578</v>
      </c>
    </row>
    <row r="9" spans="1:9" x14ac:dyDescent="0.2">
      <c r="A9" s="24"/>
      <c r="B9" s="24"/>
      <c r="C9" s="24"/>
      <c r="D9" s="24"/>
      <c r="E9" s="24"/>
      <c r="F9" s="24"/>
      <c r="G9" s="24"/>
      <c r="H9" s="24"/>
      <c r="I9" s="24"/>
    </row>
    <row r="10" spans="1:9" x14ac:dyDescent="0.2">
      <c r="A10" s="46"/>
      <c r="B10" s="46"/>
      <c r="C10" s="46"/>
      <c r="D10" s="46"/>
      <c r="E10" s="471" t="s">
        <v>146</v>
      </c>
      <c r="F10" s="472"/>
      <c r="G10" s="473" t="s">
        <v>145</v>
      </c>
      <c r="H10" s="473"/>
      <c r="I10" s="472"/>
    </row>
    <row r="11" spans="1:9" x14ac:dyDescent="0.2">
      <c r="A11" s="375" t="s">
        <v>37</v>
      </c>
      <c r="B11" s="376" t="s">
        <v>48</v>
      </c>
      <c r="C11" s="377" t="s">
        <v>39</v>
      </c>
      <c r="D11" s="29" t="s">
        <v>4</v>
      </c>
      <c r="E11" s="27" t="s">
        <v>143</v>
      </c>
      <c r="F11" s="29" t="s">
        <v>18</v>
      </c>
      <c r="G11" s="27" t="s">
        <v>140</v>
      </c>
      <c r="H11" s="26" t="s">
        <v>144</v>
      </c>
      <c r="I11" s="27" t="s">
        <v>18</v>
      </c>
    </row>
    <row r="12" spans="1:9" x14ac:dyDescent="0.2">
      <c r="A12" s="378"/>
      <c r="B12" s="379"/>
      <c r="C12" s="380"/>
      <c r="D12" s="325" t="str">
        <f>IF(A12&gt;0,C12/SQRT(A12),"")</f>
        <v/>
      </c>
      <c r="E12" s="314" t="str">
        <f>IF(A12&gt;0,B12-1.96*C12,"")</f>
        <v/>
      </c>
      <c r="F12" s="312" t="str">
        <f>IF(A12&gt;0,B12-1.96*D12,"")</f>
        <v/>
      </c>
      <c r="G12" s="118" t="str">
        <f>IF(A12&gt;1,A12-1,"")</f>
        <v/>
      </c>
      <c r="H12" s="164" t="str">
        <f>IF(A12&gt;1,TINV(0.05,G12),"")</f>
        <v/>
      </c>
      <c r="I12" s="314" t="str">
        <f>IF(A12&gt;1,B12-H12*D12,"")</f>
        <v/>
      </c>
    </row>
    <row r="13" spans="1:9" x14ac:dyDescent="0.2">
      <c r="A13" s="46"/>
      <c r="B13" s="46"/>
      <c r="C13" s="46"/>
      <c r="D13" s="46"/>
      <c r="E13" s="315" t="str">
        <f>IF(A12&gt;0,B12+1.96*C12,"")</f>
        <v/>
      </c>
      <c r="F13" s="313" t="str">
        <f>IF(A12&gt;0,B12+1.96*D12,"")</f>
        <v/>
      </c>
      <c r="G13" s="46"/>
      <c r="H13" s="198"/>
      <c r="I13" s="315" t="str">
        <f>IF(A12&gt;1,B12+H12*D12,"")</f>
        <v/>
      </c>
    </row>
    <row r="14" spans="1:9" x14ac:dyDescent="0.2">
      <c r="A14" s="24"/>
      <c r="B14" s="24"/>
      <c r="C14" s="24"/>
      <c r="D14" s="24"/>
      <c r="E14" s="24"/>
      <c r="F14" s="24"/>
      <c r="G14" s="24"/>
      <c r="H14" s="24"/>
      <c r="I14" s="24"/>
    </row>
    <row r="15" spans="1:9" x14ac:dyDescent="0.2">
      <c r="A15" s="46"/>
      <c r="B15" s="46"/>
      <c r="C15" s="46"/>
      <c r="D15" s="46"/>
      <c r="E15" s="471" t="s">
        <v>146</v>
      </c>
      <c r="F15" s="472"/>
      <c r="G15" s="473" t="s">
        <v>145</v>
      </c>
      <c r="H15" s="473"/>
      <c r="I15" s="472"/>
    </row>
    <row r="16" spans="1:9" x14ac:dyDescent="0.2">
      <c r="A16" s="375" t="s">
        <v>37</v>
      </c>
      <c r="B16" s="376" t="s">
        <v>48</v>
      </c>
      <c r="C16" s="377" t="s">
        <v>39</v>
      </c>
      <c r="D16" s="29" t="s">
        <v>4</v>
      </c>
      <c r="E16" s="27" t="s">
        <v>143</v>
      </c>
      <c r="F16" s="29" t="s">
        <v>18</v>
      </c>
      <c r="G16" s="27" t="s">
        <v>140</v>
      </c>
      <c r="H16" s="26" t="s">
        <v>144</v>
      </c>
      <c r="I16" s="27" t="s">
        <v>18</v>
      </c>
    </row>
    <row r="17" spans="1:9" x14ac:dyDescent="0.2">
      <c r="A17" s="378"/>
      <c r="B17" s="379"/>
      <c r="C17" s="380"/>
      <c r="D17" s="325" t="str">
        <f>IF(A17&gt;0,C17/SQRT(A17),"")</f>
        <v/>
      </c>
      <c r="E17" s="314" t="str">
        <f>IF(A17&gt;0,B17-1.96*C17,"")</f>
        <v/>
      </c>
      <c r="F17" s="312" t="str">
        <f>IF(A17&gt;0,B17-1.96*D17,"")</f>
        <v/>
      </c>
      <c r="G17" s="118" t="str">
        <f>IF(A17&gt;1,A17-1,"")</f>
        <v/>
      </c>
      <c r="H17" s="164" t="str">
        <f>IF(A17&gt;1,TINV(0.05,G17),"")</f>
        <v/>
      </c>
      <c r="I17" s="314" t="str">
        <f>IF(A17&gt;1,B17-H17*D17,"")</f>
        <v/>
      </c>
    </row>
    <row r="18" spans="1:9" x14ac:dyDescent="0.2">
      <c r="A18" s="46"/>
      <c r="B18" s="46"/>
      <c r="C18" s="46"/>
      <c r="D18" s="46"/>
      <c r="E18" s="315" t="str">
        <f>IF(A17&gt;0,B17+1.96*C17,"")</f>
        <v/>
      </c>
      <c r="F18" s="313" t="str">
        <f>IF(A17&gt;0,B17+1.96*D17,"")</f>
        <v/>
      </c>
      <c r="G18" s="46"/>
      <c r="H18" s="198"/>
      <c r="I18" s="315" t="str">
        <f>IF(A17&gt;1,B17+H17*D17,"")</f>
        <v/>
      </c>
    </row>
    <row r="20" spans="1:9" x14ac:dyDescent="0.2">
      <c r="A20" s="46"/>
      <c r="B20" s="46"/>
      <c r="C20" s="46"/>
      <c r="D20" s="46"/>
      <c r="E20" s="471" t="s">
        <v>146</v>
      </c>
      <c r="F20" s="472"/>
      <c r="G20" s="473" t="s">
        <v>145</v>
      </c>
      <c r="H20" s="473"/>
      <c r="I20" s="472"/>
    </row>
    <row r="21" spans="1:9" x14ac:dyDescent="0.2">
      <c r="A21" s="375" t="s">
        <v>37</v>
      </c>
      <c r="B21" s="376" t="s">
        <v>48</v>
      </c>
      <c r="C21" s="377" t="s">
        <v>39</v>
      </c>
      <c r="D21" s="26" t="s">
        <v>4</v>
      </c>
      <c r="E21" s="27" t="s">
        <v>143</v>
      </c>
      <c r="F21" s="29" t="s">
        <v>18</v>
      </c>
      <c r="G21" s="27" t="s">
        <v>140</v>
      </c>
      <c r="H21" s="26" t="s">
        <v>144</v>
      </c>
      <c r="I21" s="27" t="s">
        <v>18</v>
      </c>
    </row>
    <row r="22" spans="1:9" x14ac:dyDescent="0.2">
      <c r="A22" s="378"/>
      <c r="B22" s="379"/>
      <c r="C22" s="380"/>
      <c r="D22" s="164" t="str">
        <f>IF(A22&gt;0,C22/SQRT(A22),"")</f>
        <v/>
      </c>
      <c r="E22" s="314" t="str">
        <f>IF(A22&gt;0,B22-1.96*C22,"")</f>
        <v/>
      </c>
      <c r="F22" s="312" t="str">
        <f>IF(A22&gt;0,B22-1.96*D22,"")</f>
        <v/>
      </c>
      <c r="G22" s="118" t="str">
        <f>IF(A22&gt;1,A22-1,"")</f>
        <v/>
      </c>
      <c r="H22" s="164" t="str">
        <f>IF(A22&gt;1,TINV(0.05,G22),"")</f>
        <v/>
      </c>
      <c r="I22" s="314" t="str">
        <f>IF(A22&gt;1,B22-H22*D22,"")</f>
        <v/>
      </c>
    </row>
    <row r="23" spans="1:9" x14ac:dyDescent="0.2">
      <c r="A23" s="46"/>
      <c r="B23" s="46"/>
      <c r="C23" s="46"/>
      <c r="D23" s="46"/>
      <c r="E23" s="315" t="str">
        <f>IF(A22&gt;0,B22+1.96*C22,"")</f>
        <v/>
      </c>
      <c r="F23" s="313" t="str">
        <f>IF(A22&gt;0,B22+1.96*D22,"")</f>
        <v/>
      </c>
      <c r="G23" s="46"/>
      <c r="H23" s="198"/>
      <c r="I23" s="315" t="str">
        <f>IF(A22&gt;1,B22+H22*D22,"")</f>
        <v/>
      </c>
    </row>
    <row r="25" spans="1:9" x14ac:dyDescent="0.2">
      <c r="A25" s="46"/>
      <c r="B25" s="46"/>
      <c r="C25" s="46"/>
      <c r="D25" s="46"/>
      <c r="E25" s="471" t="s">
        <v>146</v>
      </c>
      <c r="F25" s="472"/>
      <c r="G25" s="473" t="s">
        <v>145</v>
      </c>
      <c r="H25" s="473"/>
      <c r="I25" s="472"/>
    </row>
    <row r="26" spans="1:9" x14ac:dyDescent="0.2">
      <c r="A26" s="375" t="s">
        <v>37</v>
      </c>
      <c r="B26" s="376" t="s">
        <v>48</v>
      </c>
      <c r="C26" s="377" t="s">
        <v>39</v>
      </c>
      <c r="D26" s="26" t="s">
        <v>4</v>
      </c>
      <c r="E26" s="27" t="s">
        <v>143</v>
      </c>
      <c r="F26" s="29" t="s">
        <v>18</v>
      </c>
      <c r="G26" s="27" t="s">
        <v>140</v>
      </c>
      <c r="H26" s="26" t="s">
        <v>144</v>
      </c>
      <c r="I26" s="27" t="s">
        <v>18</v>
      </c>
    </row>
    <row r="27" spans="1:9" x14ac:dyDescent="0.2">
      <c r="A27" s="378"/>
      <c r="B27" s="379"/>
      <c r="C27" s="380"/>
      <c r="D27" s="164" t="str">
        <f>IF(A27&gt;0,C27/SQRT(A27),"")</f>
        <v/>
      </c>
      <c r="E27" s="314" t="str">
        <f>IF(A27&gt;0,B27-1.96*C27,"")</f>
        <v/>
      </c>
      <c r="F27" s="312" t="str">
        <f>IF(A27&gt;0,B27-1.96*D27,"")</f>
        <v/>
      </c>
      <c r="G27" s="118" t="str">
        <f>IF(A27&gt;1,A27-1,"")</f>
        <v/>
      </c>
      <c r="H27" s="164" t="str">
        <f>IF(A27&gt;1,TINV(0.05,G27),"")</f>
        <v/>
      </c>
      <c r="I27" s="314" t="str">
        <f>IF(A27&gt;1,B27-H27*D27,"")</f>
        <v/>
      </c>
    </row>
    <row r="28" spans="1:9" x14ac:dyDescent="0.2">
      <c r="A28" s="46"/>
      <c r="B28" s="46"/>
      <c r="C28" s="46"/>
      <c r="D28" s="46"/>
      <c r="E28" s="315" t="str">
        <f>IF(A27&gt;0,B27+1.96*C27,"")</f>
        <v/>
      </c>
      <c r="F28" s="313" t="str">
        <f>IF(A27&gt;0,B27+1.96*D27,"")</f>
        <v/>
      </c>
      <c r="G28" s="46"/>
      <c r="H28" s="198"/>
      <c r="I28" s="315" t="str">
        <f>IF(A27&gt;1,B27+H27*D27,"")</f>
        <v/>
      </c>
    </row>
    <row r="30" spans="1:9" x14ac:dyDescent="0.2">
      <c r="A30" s="46"/>
      <c r="B30" s="46"/>
      <c r="C30" s="46"/>
      <c r="D30" s="46"/>
      <c r="E30" s="471" t="s">
        <v>146</v>
      </c>
      <c r="F30" s="472"/>
      <c r="G30" s="473" t="s">
        <v>145</v>
      </c>
      <c r="H30" s="473"/>
      <c r="I30" s="472"/>
    </row>
    <row r="31" spans="1:9" x14ac:dyDescent="0.2">
      <c r="A31" s="375" t="s">
        <v>37</v>
      </c>
      <c r="B31" s="376" t="s">
        <v>48</v>
      </c>
      <c r="C31" s="377" t="s">
        <v>39</v>
      </c>
      <c r="D31" s="26" t="s">
        <v>4</v>
      </c>
      <c r="E31" s="27" t="s">
        <v>143</v>
      </c>
      <c r="F31" s="29" t="s">
        <v>18</v>
      </c>
      <c r="G31" s="27" t="s">
        <v>140</v>
      </c>
      <c r="H31" s="26" t="s">
        <v>144</v>
      </c>
      <c r="I31" s="27" t="s">
        <v>18</v>
      </c>
    </row>
    <row r="32" spans="1:9" x14ac:dyDescent="0.2">
      <c r="A32" s="378"/>
      <c r="B32" s="379"/>
      <c r="C32" s="380"/>
      <c r="D32" s="164" t="str">
        <f>IF(A32&gt;0,C32/SQRT(A32),"")</f>
        <v/>
      </c>
      <c r="E32" s="314" t="str">
        <f>IF(A32&gt;0,B32-1.96*C32,"")</f>
        <v/>
      </c>
      <c r="F32" s="312" t="str">
        <f>IF(A32&gt;0,B32-1.96*D32,"")</f>
        <v/>
      </c>
      <c r="G32" s="118" t="str">
        <f>IF(A32&gt;1,A32-1,"")</f>
        <v/>
      </c>
      <c r="H32" s="164" t="str">
        <f>IF(A32&gt;1,TINV(0.05,G32),"")</f>
        <v/>
      </c>
      <c r="I32" s="314" t="str">
        <f>IF(A32&gt;1,B32-H32*D32,"")</f>
        <v/>
      </c>
    </row>
    <row r="33" spans="1:9" x14ac:dyDescent="0.2">
      <c r="A33" s="46"/>
      <c r="B33" s="46"/>
      <c r="C33" s="46"/>
      <c r="D33" s="46"/>
      <c r="E33" s="315" t="str">
        <f>IF(A32&gt;0,B32+1.96*C32,"")</f>
        <v/>
      </c>
      <c r="F33" s="313" t="str">
        <f>IF(A32&gt;0,B32+1.96*D32,"")</f>
        <v/>
      </c>
      <c r="G33" s="46"/>
      <c r="H33" s="198"/>
      <c r="I33" s="315" t="str">
        <f>IF(A32&gt;1,B32+H32*D32,"")</f>
        <v/>
      </c>
    </row>
    <row r="35" spans="1:9" x14ac:dyDescent="0.2">
      <c r="A35" s="46"/>
      <c r="B35" s="46"/>
      <c r="C35" s="46"/>
      <c r="D35" s="46"/>
      <c r="E35" s="471" t="s">
        <v>146</v>
      </c>
      <c r="F35" s="472"/>
      <c r="G35" s="473" t="s">
        <v>145</v>
      </c>
      <c r="H35" s="473"/>
      <c r="I35" s="472"/>
    </row>
    <row r="36" spans="1:9" x14ac:dyDescent="0.2">
      <c r="A36" s="375" t="s">
        <v>37</v>
      </c>
      <c r="B36" s="376" t="s">
        <v>48</v>
      </c>
      <c r="C36" s="377" t="s">
        <v>39</v>
      </c>
      <c r="D36" s="26" t="s">
        <v>4</v>
      </c>
      <c r="E36" s="27" t="s">
        <v>143</v>
      </c>
      <c r="F36" s="29" t="s">
        <v>18</v>
      </c>
      <c r="G36" s="27" t="s">
        <v>140</v>
      </c>
      <c r="H36" s="26" t="s">
        <v>144</v>
      </c>
      <c r="I36" s="27" t="s">
        <v>18</v>
      </c>
    </row>
    <row r="37" spans="1:9" x14ac:dyDescent="0.2">
      <c r="A37" s="378"/>
      <c r="B37" s="379"/>
      <c r="C37" s="380"/>
      <c r="D37" s="164" t="str">
        <f>IF(A37&gt;0,C37/SQRT(A37),"")</f>
        <v/>
      </c>
      <c r="E37" s="314" t="str">
        <f>IF(A37&gt;0,B37-1.96*C37,"")</f>
        <v/>
      </c>
      <c r="F37" s="312" t="str">
        <f>IF(A37&gt;0,B37-1.96*D37,"")</f>
        <v/>
      </c>
      <c r="G37" s="118" t="str">
        <f>IF(A37&gt;1,A37-1,"")</f>
        <v/>
      </c>
      <c r="H37" s="164" t="str">
        <f>IF(A37&gt;1,TINV(0.05,G37),"")</f>
        <v/>
      </c>
      <c r="I37" s="314" t="str">
        <f>IF(A37&gt;1,B37-H37*D37,"")</f>
        <v/>
      </c>
    </row>
    <row r="38" spans="1:9" x14ac:dyDescent="0.2">
      <c r="A38" s="46"/>
      <c r="B38" s="46"/>
      <c r="C38" s="46"/>
      <c r="D38" s="46"/>
      <c r="E38" s="315" t="str">
        <f>IF(A37&gt;0,B37+1.96*C37,"")</f>
        <v/>
      </c>
      <c r="F38" s="313" t="str">
        <f>IF(A37&gt;0,B37+1.96*D37,"")</f>
        <v/>
      </c>
      <c r="G38" s="46"/>
      <c r="H38" s="198"/>
      <c r="I38" s="315" t="str">
        <f>IF(A37&gt;1,B37+H37*D37,"")</f>
        <v/>
      </c>
    </row>
    <row r="40" spans="1:9" x14ac:dyDescent="0.2">
      <c r="A40" s="46"/>
      <c r="B40" s="46"/>
      <c r="C40" s="46"/>
      <c r="D40" s="46"/>
      <c r="E40" s="471" t="s">
        <v>146</v>
      </c>
      <c r="F40" s="472"/>
      <c r="G40" s="473" t="s">
        <v>145</v>
      </c>
      <c r="H40" s="473"/>
      <c r="I40" s="472"/>
    </row>
    <row r="41" spans="1:9" x14ac:dyDescent="0.2">
      <c r="A41" s="375" t="s">
        <v>37</v>
      </c>
      <c r="B41" s="376" t="s">
        <v>48</v>
      </c>
      <c r="C41" s="377" t="s">
        <v>39</v>
      </c>
      <c r="D41" s="26" t="s">
        <v>4</v>
      </c>
      <c r="E41" s="27" t="s">
        <v>143</v>
      </c>
      <c r="F41" s="29" t="s">
        <v>18</v>
      </c>
      <c r="G41" s="27" t="s">
        <v>140</v>
      </c>
      <c r="H41" s="26" t="s">
        <v>144</v>
      </c>
      <c r="I41" s="27" t="s">
        <v>18</v>
      </c>
    </row>
    <row r="42" spans="1:9" x14ac:dyDescent="0.2">
      <c r="A42" s="378"/>
      <c r="B42" s="379"/>
      <c r="C42" s="380"/>
      <c r="D42" s="164" t="str">
        <f>IF(A42&gt;0,C42/SQRT(A42),"")</f>
        <v/>
      </c>
      <c r="E42" s="314" t="str">
        <f>IF(A42&gt;0,B42-1.96*C42,"")</f>
        <v/>
      </c>
      <c r="F42" s="312" t="str">
        <f>IF(A42&gt;0,B42-1.96*D42,"")</f>
        <v/>
      </c>
      <c r="G42" s="118" t="str">
        <f>IF(A42&gt;1,A42-1,"")</f>
        <v/>
      </c>
      <c r="H42" s="164" t="str">
        <f>IF(A42&gt;1,TINV(0.05,G42),"")</f>
        <v/>
      </c>
      <c r="I42" s="314" t="str">
        <f>IF(A42&gt;1,B42-H42*D42,"")</f>
        <v/>
      </c>
    </row>
    <row r="43" spans="1:9" x14ac:dyDescent="0.2">
      <c r="A43" s="46"/>
      <c r="B43" s="46"/>
      <c r="C43" s="46"/>
      <c r="D43" s="46"/>
      <c r="E43" s="315" t="str">
        <f>IF(A42&gt;0,B42+1.96*C42,"")</f>
        <v/>
      </c>
      <c r="F43" s="313" t="str">
        <f>IF(A42&gt;0,B42+1.96*D42,"")</f>
        <v/>
      </c>
      <c r="G43" s="46"/>
      <c r="H43" s="198"/>
      <c r="I43" s="315" t="str">
        <f>IF(A42&gt;1,B42+H42*D42,"")</f>
        <v/>
      </c>
    </row>
  </sheetData>
  <sheetProtection sheet="1" objects="1" scenarios="1" formatCells="0" formatColumns="0"/>
  <mergeCells count="18">
    <mergeCell ref="E15:F15"/>
    <mergeCell ref="G15:I15"/>
    <mergeCell ref="G5:I5"/>
    <mergeCell ref="E5:F5"/>
    <mergeCell ref="B1:F1"/>
    <mergeCell ref="I1:I2"/>
    <mergeCell ref="E10:F10"/>
    <mergeCell ref="G10:I10"/>
    <mergeCell ref="E20:F20"/>
    <mergeCell ref="G20:I20"/>
    <mergeCell ref="E40:F40"/>
    <mergeCell ref="G40:I40"/>
    <mergeCell ref="E30:F30"/>
    <mergeCell ref="G30:I30"/>
    <mergeCell ref="E35:F35"/>
    <mergeCell ref="G35:I35"/>
    <mergeCell ref="E25:F25"/>
    <mergeCell ref="G25:I25"/>
  </mergeCells>
  <phoneticPr fontId="9" type="noConversion"/>
  <hyperlinks>
    <hyperlink ref="I1:I2" location="Start!A1" display="Start"/>
  </hyperlinks>
  <pageMargins left="0.75" right="0.75" top="1" bottom="1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6"/>
  <sheetViews>
    <sheetView workbookViewId="0">
      <selection activeCell="Q9" sqref="Q9"/>
    </sheetView>
  </sheetViews>
  <sheetFormatPr defaultRowHeight="12.75" x14ac:dyDescent="0.2"/>
  <cols>
    <col min="1" max="1" width="12.140625" customWidth="1"/>
    <col min="2" max="2" width="8.7109375" customWidth="1"/>
    <col min="3" max="3" width="10.85546875" customWidth="1"/>
    <col min="4" max="9" width="8.7109375" customWidth="1"/>
    <col min="10" max="15" width="8.7109375" hidden="1" customWidth="1"/>
  </cols>
  <sheetData>
    <row r="1" spans="1:16" x14ac:dyDescent="0.2">
      <c r="A1" s="389" t="s">
        <v>148</v>
      </c>
      <c r="B1" s="481" t="s">
        <v>150</v>
      </c>
      <c r="C1" s="481"/>
      <c r="D1" s="481"/>
      <c r="E1" s="481"/>
      <c r="F1" s="481"/>
      <c r="G1" s="292"/>
      <c r="H1" s="292"/>
      <c r="I1" s="482" t="s">
        <v>186</v>
      </c>
    </row>
    <row r="2" spans="1:16" x14ac:dyDescent="0.2">
      <c r="A2" s="292"/>
      <c r="B2" s="292"/>
      <c r="C2" s="292"/>
      <c r="D2" s="292"/>
      <c r="E2" s="292"/>
      <c r="F2" s="392"/>
      <c r="G2" s="292"/>
      <c r="H2" s="393"/>
      <c r="I2" s="483"/>
      <c r="J2" s="318"/>
      <c r="K2" s="282"/>
      <c r="L2" s="282"/>
      <c r="M2" s="282"/>
      <c r="N2" s="282"/>
      <c r="O2" s="290"/>
      <c r="P2" s="292"/>
    </row>
    <row r="3" spans="1:16" x14ac:dyDescent="0.2">
      <c r="A3" s="292"/>
      <c r="B3" s="292"/>
      <c r="C3" s="292"/>
      <c r="D3" s="292"/>
      <c r="E3" s="292"/>
      <c r="F3" s="392"/>
      <c r="G3" s="292"/>
      <c r="H3" s="292"/>
      <c r="I3" s="292"/>
      <c r="J3" s="318"/>
      <c r="K3" s="282"/>
      <c r="L3" s="282"/>
      <c r="M3" s="282"/>
      <c r="N3" s="282"/>
      <c r="O3" s="290"/>
      <c r="P3" s="292"/>
    </row>
    <row r="4" spans="1:16" ht="12" customHeight="1" x14ac:dyDescent="0.2">
      <c r="A4" s="292"/>
      <c r="B4" s="292"/>
      <c r="C4" s="292"/>
      <c r="D4" s="292"/>
      <c r="E4" s="292"/>
      <c r="F4" s="292"/>
      <c r="G4" s="394"/>
      <c r="H4" s="394"/>
      <c r="I4" s="292"/>
      <c r="J4" s="318"/>
      <c r="K4" s="282"/>
      <c r="L4" s="282"/>
      <c r="M4" s="282"/>
      <c r="N4" s="283"/>
      <c r="O4" s="291"/>
      <c r="P4" s="292"/>
    </row>
    <row r="5" spans="1:16" ht="12" customHeight="1" x14ac:dyDescent="0.2">
      <c r="A5" s="40"/>
      <c r="B5" s="480" t="s">
        <v>115</v>
      </c>
      <c r="C5" s="480"/>
      <c r="D5" s="145">
        <v>100</v>
      </c>
      <c r="E5" s="40"/>
      <c r="F5" s="40"/>
      <c r="G5" s="40"/>
      <c r="H5" s="40"/>
      <c r="I5" s="40"/>
      <c r="J5" s="289"/>
      <c r="K5" s="283"/>
      <c r="L5" s="283"/>
      <c r="M5" s="283"/>
      <c r="N5" s="283"/>
      <c r="O5" s="291"/>
      <c r="P5" s="292"/>
    </row>
    <row r="6" spans="1:16" ht="12" customHeight="1" x14ac:dyDescent="0.2">
      <c r="A6" s="40"/>
      <c r="B6" s="40"/>
      <c r="C6" s="40"/>
      <c r="D6" s="40"/>
      <c r="E6" s="40"/>
      <c r="F6" s="40"/>
      <c r="G6" s="40"/>
      <c r="H6" s="40"/>
      <c r="I6" s="40"/>
      <c r="J6" s="289"/>
      <c r="K6" s="283"/>
      <c r="L6" s="283"/>
      <c r="M6" s="283"/>
      <c r="N6" s="283"/>
      <c r="O6" s="291"/>
      <c r="P6" s="292"/>
    </row>
    <row r="7" spans="1:16" ht="12" customHeight="1" x14ac:dyDescent="0.2">
      <c r="A7" s="40"/>
      <c r="B7" s="395"/>
      <c r="C7" s="395"/>
      <c r="D7" s="281" t="s">
        <v>118</v>
      </c>
      <c r="E7" s="136" t="s">
        <v>4</v>
      </c>
      <c r="F7" s="479" t="s">
        <v>77</v>
      </c>
      <c r="G7" s="479"/>
      <c r="H7" s="477" t="s">
        <v>75</v>
      </c>
      <c r="I7" s="478"/>
      <c r="J7" s="288" t="s">
        <v>4</v>
      </c>
      <c r="K7" s="284" t="s">
        <v>78</v>
      </c>
      <c r="L7" s="284" t="s">
        <v>79</v>
      </c>
      <c r="M7" s="283"/>
      <c r="N7" s="283"/>
      <c r="O7" s="291"/>
      <c r="P7" s="292"/>
    </row>
    <row r="8" spans="1:16" ht="12" customHeight="1" x14ac:dyDescent="0.2">
      <c r="A8" s="329" t="s">
        <v>116</v>
      </c>
      <c r="B8" s="381">
        <v>18</v>
      </c>
      <c r="C8" s="396" t="s">
        <v>112</v>
      </c>
      <c r="D8" s="401">
        <f>IF(L8=TRUE,$D$5*N8,"")</f>
        <v>4.0178571428571432</v>
      </c>
      <c r="E8" s="403">
        <f>IF(L8=TRUE,$D$5*J8,"")</f>
        <v>0.92779805841537744</v>
      </c>
      <c r="F8" s="397">
        <f>IF(L8=TRUE,D8-1.96*E8,"")</f>
        <v>2.1993729483630036</v>
      </c>
      <c r="G8" s="397">
        <f>IF(L8=TRUE,D8+1.96*E8,"")</f>
        <v>5.8363413373512829</v>
      </c>
      <c r="H8" s="401">
        <f>IF(L8=TRUE,IF(B8=0,0,$D$5*B8/(B8+(B9-B8+1)*FINV(0.025,2*K8+2,2*B8))),"")</f>
        <v>2.3983262959267782</v>
      </c>
      <c r="I8" s="402">
        <f>IF(L8=TRUE,IF(B8=B9,$D$5,$D$5*(B8+1)/(B8+1+K8/FINV(0.025,2*B8+2,2*K8))),"")</f>
        <v>6.275775520031722</v>
      </c>
      <c r="J8" s="288">
        <f>IF(L8=TRUE,SQRT(N8*N9/B9),"")</f>
        <v>9.2779805841537739E-3</v>
      </c>
      <c r="K8" s="285">
        <f>B9-B8</f>
        <v>430</v>
      </c>
      <c r="L8" s="286" t="b">
        <f>AND(B9&gt;0,B9&gt;=B8,ROUND(B8,0)=B8,ROUND(B9,0)=B9)</f>
        <v>1</v>
      </c>
      <c r="M8" s="287"/>
      <c r="N8" s="283">
        <f>B8/B9</f>
        <v>4.0178571428571432E-2</v>
      </c>
      <c r="O8" s="291" t="s">
        <v>50</v>
      </c>
      <c r="P8" s="292"/>
    </row>
    <row r="9" spans="1:16" ht="12" customHeight="1" x14ac:dyDescent="0.2">
      <c r="A9" s="338" t="s">
        <v>117</v>
      </c>
      <c r="B9" s="382">
        <v>448</v>
      </c>
      <c r="C9" s="396" t="s">
        <v>113</v>
      </c>
      <c r="D9" s="138">
        <f>IF(L8=TRUE,N10,"")</f>
        <v>4.1860465116279069E-2</v>
      </c>
      <c r="E9" s="137"/>
      <c r="F9" s="400">
        <f>IF(L8=TRUE,EXP(F10),"")</f>
        <v>2.6122453965615033E-2</v>
      </c>
      <c r="G9" s="400">
        <f>IF(L8=TRUE,EXP(G10),"")</f>
        <v>6.7080165671179526E-2</v>
      </c>
      <c r="H9" s="138">
        <f>IF(L8=TRUE,(H8/$D$5)/(1-H8/$D$5),"")</f>
        <v>2.4572593941354599E-2</v>
      </c>
      <c r="I9" s="139">
        <f>IF(L8=TRUE,(I8/$D$5)/(1-I8/$D$5),"")</f>
        <v>6.6960015458682687E-2</v>
      </c>
      <c r="J9" s="288"/>
      <c r="K9" s="285"/>
      <c r="L9" s="284"/>
      <c r="M9" s="287"/>
      <c r="N9" s="283">
        <f>1-N8</f>
        <v>0.9598214285714286</v>
      </c>
      <c r="O9" s="291" t="s">
        <v>110</v>
      </c>
      <c r="P9" s="292"/>
    </row>
    <row r="10" spans="1:16" ht="12" customHeight="1" x14ac:dyDescent="0.2">
      <c r="A10" s="40"/>
      <c r="B10" s="40"/>
      <c r="C10" s="398" t="s">
        <v>114</v>
      </c>
      <c r="D10" s="399">
        <f>IF(L8=TRUE,LN(D9),"")</f>
        <v>-3.1734134507914433</v>
      </c>
      <c r="E10" s="399">
        <f>IF(L8=TRUE,SQRT(1/B8+1/K8),"")</f>
        <v>0.24058498903901795</v>
      </c>
      <c r="F10" s="399">
        <f>IF(L8=TRUE,D10-1.96*E10,"")</f>
        <v>-3.6449600293079185</v>
      </c>
      <c r="G10" s="399">
        <f>IF(L8=TRUE,D10+1.96*E10,"")</f>
        <v>-2.7018668722749681</v>
      </c>
      <c r="H10" s="40"/>
      <c r="I10" s="40"/>
      <c r="J10" s="289"/>
      <c r="K10" s="283"/>
      <c r="L10" s="283"/>
      <c r="M10" s="283"/>
      <c r="N10" s="283">
        <f>N8/N9</f>
        <v>4.1860465116279069E-2</v>
      </c>
      <c r="O10" s="291" t="s">
        <v>111</v>
      </c>
      <c r="P10" s="292"/>
    </row>
    <row r="11" spans="1:16" ht="12" customHeight="1" x14ac:dyDescent="0.2">
      <c r="A11" s="40"/>
      <c r="B11" s="40"/>
      <c r="C11" s="40"/>
      <c r="D11" s="40"/>
      <c r="E11" s="40"/>
      <c r="F11" s="40"/>
      <c r="G11" s="40"/>
      <c r="H11" s="40"/>
      <c r="I11" s="40"/>
      <c r="J11" s="24"/>
      <c r="K11" s="24"/>
      <c r="L11" s="24"/>
      <c r="M11" s="24"/>
      <c r="N11" s="24"/>
      <c r="O11" s="24"/>
    </row>
    <row r="12" spans="1:16" ht="12" customHeight="1" x14ac:dyDescent="0.2">
      <c r="A12" s="40"/>
      <c r="B12" s="395"/>
      <c r="C12" s="395"/>
      <c r="D12" s="281" t="s">
        <v>118</v>
      </c>
      <c r="E12" s="136" t="s">
        <v>4</v>
      </c>
      <c r="F12" s="479" t="s">
        <v>77</v>
      </c>
      <c r="G12" s="479"/>
      <c r="H12" s="477" t="s">
        <v>75</v>
      </c>
      <c r="I12" s="478"/>
      <c r="J12" s="288" t="s">
        <v>4</v>
      </c>
      <c r="K12" s="284" t="s">
        <v>78</v>
      </c>
      <c r="L12" s="284" t="s">
        <v>79</v>
      </c>
      <c r="M12" s="283"/>
      <c r="N12" s="283"/>
      <c r="O12" s="291"/>
    </row>
    <row r="13" spans="1:16" ht="12" customHeight="1" x14ac:dyDescent="0.2">
      <c r="A13" s="329" t="s">
        <v>116</v>
      </c>
      <c r="B13" s="381"/>
      <c r="C13" s="396" t="s">
        <v>112</v>
      </c>
      <c r="D13" s="401" t="str">
        <f>IF(L13=TRUE,$D$5*N13,"")</f>
        <v/>
      </c>
      <c r="E13" s="403" t="str">
        <f>IF(L13=TRUE,$D$5*J13,"")</f>
        <v/>
      </c>
      <c r="F13" s="397" t="str">
        <f>IF(L13=TRUE,D13-1.96*E13,"")</f>
        <v/>
      </c>
      <c r="G13" s="397" t="str">
        <f>IF(L13=TRUE,D13+1.96*E13,"")</f>
        <v/>
      </c>
      <c r="H13" s="401" t="str">
        <f>IF(L13=TRUE,IF(B13=0,0,$D$5*B13/(B13+(B14-B13+1)*FINV(0.025,2*K13+2,2*B13))),"")</f>
        <v/>
      </c>
      <c r="I13" s="402" t="str">
        <f>IF(L13=TRUE,IF(B13=B14,$D$5,$D$5*(B13+1)/(B13+1+K13/FINV(0.025,2*B13+2,2*K13))),"")</f>
        <v/>
      </c>
      <c r="J13" s="288" t="str">
        <f>IF(L13=TRUE,SQRT(N13*N14/B14),"")</f>
        <v/>
      </c>
      <c r="K13" s="285">
        <f>B14-B13</f>
        <v>0</v>
      </c>
      <c r="L13" s="286" t="b">
        <f>AND(B14&gt;0,B14&gt;=B13,ROUND(B13,0)=B13,ROUND(B14,0)=B14)</f>
        <v>0</v>
      </c>
      <c r="M13" s="287"/>
      <c r="N13" s="283" t="e">
        <f>B13/B14</f>
        <v>#DIV/0!</v>
      </c>
      <c r="O13" s="291" t="s">
        <v>50</v>
      </c>
    </row>
    <row r="14" spans="1:16" ht="12" customHeight="1" x14ac:dyDescent="0.2">
      <c r="A14" s="338" t="s">
        <v>117</v>
      </c>
      <c r="B14" s="382"/>
      <c r="C14" s="396" t="s">
        <v>113</v>
      </c>
      <c r="D14" s="138" t="str">
        <f>IF(L13=TRUE,N15,"")</f>
        <v/>
      </c>
      <c r="E14" s="137"/>
      <c r="F14" s="400" t="str">
        <f>IF(L13=TRUE,EXP(F15),"")</f>
        <v/>
      </c>
      <c r="G14" s="400" t="str">
        <f>IF(L13=TRUE,EXP(G15),"")</f>
        <v/>
      </c>
      <c r="H14" s="138" t="str">
        <f>IF(L13=TRUE,(H13/$D$5)/(1-H13/$D$5),"")</f>
        <v/>
      </c>
      <c r="I14" s="139" t="str">
        <f>IF(L13=TRUE,(I13/$D$5)/(1-I13/$D$5),"")</f>
        <v/>
      </c>
      <c r="J14" s="288"/>
      <c r="K14" s="285"/>
      <c r="L14" s="284"/>
      <c r="M14" s="287"/>
      <c r="N14" s="283" t="e">
        <f>1-N13</f>
        <v>#DIV/0!</v>
      </c>
      <c r="O14" s="291" t="s">
        <v>110</v>
      </c>
    </row>
    <row r="15" spans="1:16" ht="12" customHeight="1" x14ac:dyDescent="0.2">
      <c r="A15" s="40"/>
      <c r="B15" s="40"/>
      <c r="C15" s="398" t="s">
        <v>114</v>
      </c>
      <c r="D15" s="399" t="str">
        <f>IF(L13=TRUE,LN(D14),"")</f>
        <v/>
      </c>
      <c r="E15" s="399" t="str">
        <f>IF(L13=TRUE,SQRT(1/B13+1/K13),"")</f>
        <v/>
      </c>
      <c r="F15" s="399" t="str">
        <f>IF(L13=TRUE,D15-1.96*E15,"")</f>
        <v/>
      </c>
      <c r="G15" s="399" t="str">
        <f>IF(L13=TRUE,D15+1.96*E15,"")</f>
        <v/>
      </c>
      <c r="H15" s="40"/>
      <c r="I15" s="40"/>
      <c r="J15" s="289"/>
      <c r="K15" s="283"/>
      <c r="L15" s="283"/>
      <c r="M15" s="283"/>
      <c r="N15" s="283" t="e">
        <f>N13/N14</f>
        <v>#DIV/0!</v>
      </c>
      <c r="O15" s="291" t="s">
        <v>111</v>
      </c>
    </row>
    <row r="16" spans="1:16" ht="12" customHeight="1" x14ac:dyDescent="0.2">
      <c r="A16" s="40"/>
      <c r="B16" s="40"/>
      <c r="C16" s="40"/>
      <c r="D16" s="40"/>
      <c r="E16" s="40"/>
      <c r="F16" s="40"/>
      <c r="G16" s="40"/>
      <c r="H16" s="40"/>
      <c r="I16" s="40"/>
      <c r="J16" s="24"/>
      <c r="K16" s="24"/>
      <c r="L16" s="24"/>
      <c r="M16" s="24"/>
      <c r="N16" s="24"/>
      <c r="O16" s="24"/>
    </row>
    <row r="17" spans="1:15" ht="12" customHeight="1" x14ac:dyDescent="0.2">
      <c r="A17" s="40"/>
      <c r="B17" s="395"/>
      <c r="C17" s="395"/>
      <c r="D17" s="136" t="s">
        <v>118</v>
      </c>
      <c r="E17" s="136" t="s">
        <v>4</v>
      </c>
      <c r="F17" s="477" t="s">
        <v>77</v>
      </c>
      <c r="G17" s="478"/>
      <c r="H17" s="477" t="s">
        <v>75</v>
      </c>
      <c r="I17" s="478"/>
      <c r="J17" s="288" t="s">
        <v>4</v>
      </c>
      <c r="K17" s="284" t="s">
        <v>78</v>
      </c>
      <c r="L17" s="284" t="s">
        <v>79</v>
      </c>
      <c r="M17" s="283"/>
      <c r="N17" s="283"/>
      <c r="O17" s="291"/>
    </row>
    <row r="18" spans="1:15" ht="12" customHeight="1" x14ac:dyDescent="0.2">
      <c r="A18" s="329" t="s">
        <v>116</v>
      </c>
      <c r="B18" s="381"/>
      <c r="C18" s="396" t="s">
        <v>112</v>
      </c>
      <c r="D18" s="403" t="str">
        <f>IF(L18=TRUE,$D$5*N18,"")</f>
        <v/>
      </c>
      <c r="E18" s="403" t="str">
        <f>IF(L18=TRUE,$D$5*J18,"")</f>
        <v/>
      </c>
      <c r="F18" s="401" t="str">
        <f>IF(L18=TRUE,D18-1.96*E18,"")</f>
        <v/>
      </c>
      <c r="G18" s="402" t="str">
        <f>IF(L18=TRUE,D18+1.96*E18,"")</f>
        <v/>
      </c>
      <c r="H18" s="401" t="str">
        <f>IF(L18=TRUE,IF(B18=0,0,$D$5*B18/(B18+(B19-B18+1)*FINV(0.025,2*K18+2,2*B18))),"")</f>
        <v/>
      </c>
      <c r="I18" s="402" t="str">
        <f>IF(L18=TRUE,IF(B18=B19,$D$5,$D$5*(B18+1)/(B18+1+K18/FINV(0.025,2*B18+2,2*K18))),"")</f>
        <v/>
      </c>
      <c r="J18" s="288" t="str">
        <f>IF(L18=TRUE,SQRT(N18*N19/B19),"")</f>
        <v/>
      </c>
      <c r="K18" s="285">
        <f>B19-B18</f>
        <v>0</v>
      </c>
      <c r="L18" s="286" t="b">
        <f>AND(B19&gt;0,B19&gt;=B18,ROUND(B18,0)=B18,ROUND(B19,0)=B19)</f>
        <v>0</v>
      </c>
      <c r="M18" s="287"/>
      <c r="N18" s="283" t="e">
        <f>B18/B19</f>
        <v>#DIV/0!</v>
      </c>
      <c r="O18" s="291" t="s">
        <v>50</v>
      </c>
    </row>
    <row r="19" spans="1:15" ht="12" customHeight="1" x14ac:dyDescent="0.2">
      <c r="A19" s="338" t="s">
        <v>117</v>
      </c>
      <c r="B19" s="404"/>
      <c r="C19" s="396" t="s">
        <v>113</v>
      </c>
      <c r="D19" s="137" t="str">
        <f>IF(L18=TRUE,N20,"")</f>
        <v/>
      </c>
      <c r="E19" s="137"/>
      <c r="F19" s="138" t="str">
        <f>IF(L18=TRUE,EXP(F20),"")</f>
        <v/>
      </c>
      <c r="G19" s="139" t="str">
        <f>IF(L18=TRUE,EXP(G20),"")</f>
        <v/>
      </c>
      <c r="H19" s="138" t="str">
        <f>IF(L18=TRUE,(H18/$D$5)/(1-H18/$D$5),"")</f>
        <v/>
      </c>
      <c r="I19" s="139" t="str">
        <f>IF(L18=TRUE,(I18/$D$5)/(1-I18/$D$5),"")</f>
        <v/>
      </c>
      <c r="J19" s="288"/>
      <c r="K19" s="285"/>
      <c r="L19" s="284"/>
      <c r="M19" s="287"/>
      <c r="N19" s="283" t="e">
        <f>1-N18</f>
        <v>#DIV/0!</v>
      </c>
      <c r="O19" s="291" t="s">
        <v>110</v>
      </c>
    </row>
    <row r="20" spans="1:15" ht="12" customHeight="1" x14ac:dyDescent="0.2">
      <c r="A20" s="40"/>
      <c r="B20" s="40"/>
      <c r="C20" s="398" t="s">
        <v>114</v>
      </c>
      <c r="D20" s="399" t="str">
        <f>IF(L18=TRUE,LN(D19),"")</f>
        <v/>
      </c>
      <c r="E20" s="399" t="str">
        <f>IF(L18=TRUE,SQRT(1/B18+1/K18),"")</f>
        <v/>
      </c>
      <c r="F20" s="399" t="str">
        <f>IF(L18=TRUE,D20-1.96*E20,"")</f>
        <v/>
      </c>
      <c r="G20" s="399" t="str">
        <f>IF(L18=TRUE,D20+1.96*E20,"")</f>
        <v/>
      </c>
      <c r="H20" s="40"/>
      <c r="I20" s="40"/>
      <c r="J20" s="289"/>
      <c r="K20" s="283"/>
      <c r="L20" s="283"/>
      <c r="M20" s="283"/>
      <c r="N20" s="283" t="e">
        <f>N18/N19</f>
        <v>#DIV/0!</v>
      </c>
      <c r="O20" s="291" t="s">
        <v>111</v>
      </c>
    </row>
    <row r="21" spans="1:15" ht="12" customHeight="1" x14ac:dyDescent="0.2">
      <c r="A21" s="40"/>
      <c r="B21" s="40"/>
      <c r="C21" s="40"/>
      <c r="D21" s="40"/>
      <c r="E21" s="40"/>
      <c r="F21" s="40"/>
      <c r="G21" s="40"/>
      <c r="H21" s="40"/>
      <c r="I21" s="40"/>
      <c r="J21" s="24"/>
      <c r="K21" s="24"/>
      <c r="L21" s="24"/>
      <c r="M21" s="24"/>
      <c r="N21" s="24"/>
      <c r="O21" s="24"/>
    </row>
    <row r="22" spans="1:15" ht="12" customHeight="1" x14ac:dyDescent="0.2">
      <c r="A22" s="40"/>
      <c r="B22" s="395"/>
      <c r="C22" s="395"/>
      <c r="D22" s="281" t="s">
        <v>118</v>
      </c>
      <c r="E22" s="136" t="s">
        <v>4</v>
      </c>
      <c r="F22" s="477" t="s">
        <v>77</v>
      </c>
      <c r="G22" s="478"/>
      <c r="H22" s="479" t="s">
        <v>75</v>
      </c>
      <c r="I22" s="478"/>
      <c r="J22" s="288" t="s">
        <v>4</v>
      </c>
      <c r="K22" s="284" t="s">
        <v>78</v>
      </c>
      <c r="L22" s="284" t="s">
        <v>79</v>
      </c>
      <c r="M22" s="283"/>
      <c r="N22" s="283"/>
      <c r="O22" s="291"/>
    </row>
    <row r="23" spans="1:15" ht="12" customHeight="1" x14ac:dyDescent="0.2">
      <c r="A23" s="329" t="s">
        <v>116</v>
      </c>
      <c r="B23" s="381"/>
      <c r="C23" s="396" t="s">
        <v>112</v>
      </c>
      <c r="D23" s="401" t="str">
        <f>IF(L23=TRUE,$D$5*N23,"")</f>
        <v/>
      </c>
      <c r="E23" s="403" t="str">
        <f>IF(L23=TRUE,$D$5*J23,"")</f>
        <v/>
      </c>
      <c r="F23" s="401" t="str">
        <f>IF(L23=TRUE,D23-1.96*E23,"")</f>
        <v/>
      </c>
      <c r="G23" s="402" t="str">
        <f>IF(L23=TRUE,D23+1.96*E23,"")</f>
        <v/>
      </c>
      <c r="H23" s="397" t="str">
        <f>IF(L23=TRUE,IF(B23=0,0,$D$5*B23/(B23+(B24-B23+1)*FINV(0.025,2*K23+2,2*B23))),"")</f>
        <v/>
      </c>
      <c r="I23" s="402" t="str">
        <f>IF(L23=TRUE,IF(B23=B24,$D$5,$D$5*(B23+1)/(B23+1+K23/FINV(0.025,2*B23+2,2*K23))),"")</f>
        <v/>
      </c>
      <c r="J23" s="288" t="str">
        <f>IF(L23=TRUE,SQRT(N23*N24/B24),"")</f>
        <v/>
      </c>
      <c r="K23" s="285">
        <f>B24-B23</f>
        <v>0</v>
      </c>
      <c r="L23" s="286" t="b">
        <f>AND(B24&gt;0,B24&gt;=B23,ROUND(B23,0)=B23,ROUND(B24,0)=B24)</f>
        <v>0</v>
      </c>
      <c r="M23" s="287"/>
      <c r="N23" s="283" t="e">
        <f>B23/B24</f>
        <v>#DIV/0!</v>
      </c>
      <c r="O23" s="291" t="s">
        <v>50</v>
      </c>
    </row>
    <row r="24" spans="1:15" ht="12" customHeight="1" x14ac:dyDescent="0.2">
      <c r="A24" s="338" t="s">
        <v>117</v>
      </c>
      <c r="B24" s="404"/>
      <c r="C24" s="396" t="s">
        <v>113</v>
      </c>
      <c r="D24" s="138" t="str">
        <f>IF(L23=TRUE,N25,"")</f>
        <v/>
      </c>
      <c r="E24" s="137"/>
      <c r="F24" s="138" t="str">
        <f>IF(L23=TRUE,EXP(F25),"")</f>
        <v/>
      </c>
      <c r="G24" s="139" t="str">
        <f>IF(L23=TRUE,EXP(G25),"")</f>
        <v/>
      </c>
      <c r="H24" s="400" t="str">
        <f>IF(L23=TRUE,(H23/$D$5)/(1-H23/$D$5),"")</f>
        <v/>
      </c>
      <c r="I24" s="139" t="str">
        <f>IF(L23=TRUE,(I23/$D$5)/(1-I23/$D$5),"")</f>
        <v/>
      </c>
      <c r="J24" s="288"/>
      <c r="K24" s="285"/>
      <c r="L24" s="284"/>
      <c r="M24" s="287"/>
      <c r="N24" s="283" t="e">
        <f>1-N23</f>
        <v>#DIV/0!</v>
      </c>
      <c r="O24" s="291" t="s">
        <v>110</v>
      </c>
    </row>
    <row r="25" spans="1:15" ht="12" customHeight="1" x14ac:dyDescent="0.2">
      <c r="A25" s="40"/>
      <c r="B25" s="40"/>
      <c r="C25" s="398" t="s">
        <v>114</v>
      </c>
      <c r="D25" s="399" t="str">
        <f>IF(L23=TRUE,LN(D24),"")</f>
        <v/>
      </c>
      <c r="E25" s="399" t="str">
        <f>IF(L23=TRUE,SQRT(1/B23+1/K23),"")</f>
        <v/>
      </c>
      <c r="F25" s="399" t="str">
        <f>IF(L23=TRUE,D25-1.96*E25,"")</f>
        <v/>
      </c>
      <c r="G25" s="399" t="str">
        <f>IF(L23=TRUE,D25+1.96*E25,"")</f>
        <v/>
      </c>
      <c r="H25" s="40"/>
      <c r="I25" s="40"/>
      <c r="J25" s="289"/>
      <c r="K25" s="283"/>
      <c r="L25" s="283"/>
      <c r="M25" s="283"/>
      <c r="N25" s="283" t="e">
        <f>N23/N24</f>
        <v>#DIV/0!</v>
      </c>
      <c r="O25" s="291" t="s">
        <v>111</v>
      </c>
    </row>
    <row r="26" spans="1:15" ht="12" customHeight="1" x14ac:dyDescent="0.2">
      <c r="A26" s="40"/>
      <c r="B26" s="40"/>
      <c r="C26" s="40"/>
      <c r="D26" s="40"/>
      <c r="E26" s="40"/>
      <c r="F26" s="40"/>
      <c r="G26" s="40"/>
      <c r="H26" s="40"/>
      <c r="I26" s="40"/>
      <c r="J26" s="24"/>
      <c r="K26" s="24"/>
      <c r="L26" s="24"/>
      <c r="M26" s="24"/>
      <c r="N26" s="24"/>
      <c r="O26" s="24"/>
    </row>
    <row r="27" spans="1:15" ht="12" customHeight="1" x14ac:dyDescent="0.2">
      <c r="A27" s="40"/>
      <c r="B27" s="395"/>
      <c r="C27" s="395"/>
      <c r="D27" s="281" t="s">
        <v>118</v>
      </c>
      <c r="E27" s="136" t="s">
        <v>4</v>
      </c>
      <c r="F27" s="477" t="s">
        <v>77</v>
      </c>
      <c r="G27" s="478"/>
      <c r="H27" s="479" t="s">
        <v>75</v>
      </c>
      <c r="I27" s="478"/>
      <c r="J27" s="288" t="s">
        <v>4</v>
      </c>
      <c r="K27" s="284" t="s">
        <v>78</v>
      </c>
      <c r="L27" s="284" t="s">
        <v>79</v>
      </c>
      <c r="M27" s="283"/>
      <c r="N27" s="283"/>
      <c r="O27" s="291"/>
    </row>
    <row r="28" spans="1:15" ht="12" customHeight="1" x14ac:dyDescent="0.2">
      <c r="A28" s="329" t="s">
        <v>116</v>
      </c>
      <c r="B28" s="381"/>
      <c r="C28" s="396" t="s">
        <v>112</v>
      </c>
      <c r="D28" s="401" t="str">
        <f>IF(L28=TRUE,$D$5*N28,"")</f>
        <v/>
      </c>
      <c r="E28" s="403" t="str">
        <f>IF(L28=TRUE,$D$5*J28,"")</f>
        <v/>
      </c>
      <c r="F28" s="401" t="str">
        <f>IF(L28=TRUE,D28-1.96*E28,"")</f>
        <v/>
      </c>
      <c r="G28" s="402" t="str">
        <f>IF(L28=TRUE,D28+1.96*E28,"")</f>
        <v/>
      </c>
      <c r="H28" s="397" t="str">
        <f>IF(L28=TRUE,IF(B28=0,0,$D$5*B28/(B28+(B29-B28+1)*FINV(0.025,2*K28+2,2*B28))),"")</f>
        <v/>
      </c>
      <c r="I28" s="402" t="str">
        <f>IF(L28=TRUE,IF(B28=B29,$D$5,$D$5*(B28+1)/(B28+1+K28/FINV(0.025,2*B28+2,2*K28))),"")</f>
        <v/>
      </c>
      <c r="J28" s="288" t="str">
        <f>IF(L28=TRUE,SQRT(N28*N29/B29),"")</f>
        <v/>
      </c>
      <c r="K28" s="285">
        <f>B29-B28</f>
        <v>0</v>
      </c>
      <c r="L28" s="286" t="b">
        <f>AND(B29&gt;0,B29&gt;=B28,ROUND(B28,0)=B28,ROUND(B29,0)=B29)</f>
        <v>0</v>
      </c>
      <c r="M28" s="287"/>
      <c r="N28" s="283" t="e">
        <f>B28/B29</f>
        <v>#DIV/0!</v>
      </c>
      <c r="O28" s="291" t="s">
        <v>50</v>
      </c>
    </row>
    <row r="29" spans="1:15" ht="12" customHeight="1" x14ac:dyDescent="0.2">
      <c r="A29" s="338" t="s">
        <v>117</v>
      </c>
      <c r="B29" s="404"/>
      <c r="C29" s="396" t="s">
        <v>113</v>
      </c>
      <c r="D29" s="138" t="str">
        <f>IF(L28=TRUE,N30,"")</f>
        <v/>
      </c>
      <c r="E29" s="137"/>
      <c r="F29" s="138" t="str">
        <f>IF(L28=TRUE,EXP(F30),"")</f>
        <v/>
      </c>
      <c r="G29" s="139" t="str">
        <f>IF(L28=TRUE,EXP(G30),"")</f>
        <v/>
      </c>
      <c r="H29" s="400" t="str">
        <f>IF(L28=TRUE,(H28/$D$5)/(1-H28/$D$5),"")</f>
        <v/>
      </c>
      <c r="I29" s="139" t="str">
        <f>IF(L28=TRUE,(I28/$D$5)/(1-I28/$D$5),"")</f>
        <v/>
      </c>
      <c r="J29" s="288"/>
      <c r="K29" s="285"/>
      <c r="L29" s="284"/>
      <c r="M29" s="287"/>
      <c r="N29" s="283" t="e">
        <f>1-N28</f>
        <v>#DIV/0!</v>
      </c>
      <c r="O29" s="291" t="s">
        <v>110</v>
      </c>
    </row>
    <row r="30" spans="1:15" ht="12" customHeight="1" x14ac:dyDescent="0.2">
      <c r="A30" s="40"/>
      <c r="B30" s="40"/>
      <c r="C30" s="398" t="s">
        <v>114</v>
      </c>
      <c r="D30" s="399" t="str">
        <f>IF(L28=TRUE,LN(D29),"")</f>
        <v/>
      </c>
      <c r="E30" s="399" t="str">
        <f>IF(L28=TRUE,SQRT(1/B28+1/K28),"")</f>
        <v/>
      </c>
      <c r="F30" s="399" t="str">
        <f>IF(L28=TRUE,D30-1.96*E30,"")</f>
        <v/>
      </c>
      <c r="G30" s="399" t="str">
        <f>IF(L28=TRUE,D30+1.96*E30,"")</f>
        <v/>
      </c>
      <c r="H30" s="40"/>
      <c r="I30" s="40"/>
      <c r="J30" s="289"/>
      <c r="K30" s="283"/>
      <c r="L30" s="283"/>
      <c r="M30" s="283"/>
      <c r="N30" s="283" t="e">
        <f>N28/N29</f>
        <v>#DIV/0!</v>
      </c>
      <c r="O30" s="291" t="s">
        <v>111</v>
      </c>
    </row>
    <row r="31" spans="1:15" ht="12" customHeight="1" x14ac:dyDescent="0.2">
      <c r="A31" s="40"/>
      <c r="B31" s="40"/>
      <c r="C31" s="40"/>
      <c r="D31" s="40"/>
      <c r="E31" s="40"/>
      <c r="F31" s="40"/>
      <c r="G31" s="40"/>
      <c r="H31" s="40"/>
      <c r="I31" s="40"/>
      <c r="J31" s="24"/>
      <c r="K31" s="24"/>
      <c r="L31" s="24"/>
      <c r="M31" s="24"/>
      <c r="N31" s="24"/>
      <c r="O31" s="24"/>
    </row>
    <row r="32" spans="1:15" ht="12" customHeight="1" x14ac:dyDescent="0.2">
      <c r="A32" s="40"/>
      <c r="B32" s="395"/>
      <c r="C32" s="395"/>
      <c r="D32" s="281" t="s">
        <v>118</v>
      </c>
      <c r="E32" s="136" t="s">
        <v>4</v>
      </c>
      <c r="F32" s="477" t="s">
        <v>77</v>
      </c>
      <c r="G32" s="478"/>
      <c r="H32" s="479" t="s">
        <v>75</v>
      </c>
      <c r="I32" s="478"/>
      <c r="J32" s="288" t="s">
        <v>4</v>
      </c>
      <c r="K32" s="284" t="s">
        <v>78</v>
      </c>
      <c r="L32" s="284" t="s">
        <v>79</v>
      </c>
      <c r="M32" s="283"/>
      <c r="N32" s="283"/>
      <c r="O32" s="291"/>
    </row>
    <row r="33" spans="1:15" ht="12" customHeight="1" x14ac:dyDescent="0.2">
      <c r="A33" s="329" t="s">
        <v>116</v>
      </c>
      <c r="B33" s="381"/>
      <c r="C33" s="396" t="s">
        <v>112</v>
      </c>
      <c r="D33" s="401" t="str">
        <f>IF(L33=TRUE,$D$5*N33,"")</f>
        <v/>
      </c>
      <c r="E33" s="403" t="str">
        <f>IF(L33=TRUE,$D$5*J33,"")</f>
        <v/>
      </c>
      <c r="F33" s="401" t="str">
        <f>IF(L33=TRUE,D33-1.96*E33,"")</f>
        <v/>
      </c>
      <c r="G33" s="402" t="str">
        <f>IF(L33=TRUE,D33+1.96*E33,"")</f>
        <v/>
      </c>
      <c r="H33" s="397" t="str">
        <f>IF(L33=TRUE,IF(B33=0,0,$D$5*B33/(B33+(B34-B33+1)*FINV(0.025,2*K33+2,2*B33))),"")</f>
        <v/>
      </c>
      <c r="I33" s="402" t="str">
        <f>IF(L33=TRUE,IF(B33=B34,$D$5,$D$5*(B33+1)/(B33+1+K33/FINV(0.025,2*B33+2,2*K33))),"")</f>
        <v/>
      </c>
      <c r="J33" s="288" t="str">
        <f>IF(L33=TRUE,SQRT(N33*N34/B34),"")</f>
        <v/>
      </c>
      <c r="K33" s="285">
        <f>B34-B33</f>
        <v>0</v>
      </c>
      <c r="L33" s="286" t="b">
        <f>AND(B34&gt;0,B34&gt;=B33,ROUND(B33,0)=B33,ROUND(B34,0)=B34)</f>
        <v>0</v>
      </c>
      <c r="M33" s="287"/>
      <c r="N33" s="283" t="e">
        <f>B33/B34</f>
        <v>#DIV/0!</v>
      </c>
      <c r="O33" s="291" t="s">
        <v>50</v>
      </c>
    </row>
    <row r="34" spans="1:15" ht="12" customHeight="1" x14ac:dyDescent="0.2">
      <c r="A34" s="338" t="s">
        <v>117</v>
      </c>
      <c r="B34" s="404"/>
      <c r="C34" s="396" t="s">
        <v>113</v>
      </c>
      <c r="D34" s="138" t="str">
        <f>IF(L33=TRUE,N35,"")</f>
        <v/>
      </c>
      <c r="E34" s="137"/>
      <c r="F34" s="138" t="str">
        <f>IF(L33=TRUE,EXP(F35),"")</f>
        <v/>
      </c>
      <c r="G34" s="139" t="str">
        <f>IF(L33=TRUE,EXP(G35),"")</f>
        <v/>
      </c>
      <c r="H34" s="400" t="str">
        <f>IF(L33=TRUE,(H33/$D$5)/(1-H33/$D$5),"")</f>
        <v/>
      </c>
      <c r="I34" s="139" t="str">
        <f>IF(L33=TRUE,(I33/$D$5)/(1-I33/$D$5),"")</f>
        <v/>
      </c>
      <c r="J34" s="288"/>
      <c r="K34" s="285"/>
      <c r="L34" s="284"/>
      <c r="M34" s="287"/>
      <c r="N34" s="283" t="e">
        <f>1-N33</f>
        <v>#DIV/0!</v>
      </c>
      <c r="O34" s="291" t="s">
        <v>110</v>
      </c>
    </row>
    <row r="35" spans="1:15" ht="12" customHeight="1" x14ac:dyDescent="0.2">
      <c r="A35" s="40"/>
      <c r="B35" s="40"/>
      <c r="C35" s="398" t="s">
        <v>114</v>
      </c>
      <c r="D35" s="399" t="str">
        <f>IF(L33=TRUE,LN(D34),"")</f>
        <v/>
      </c>
      <c r="E35" s="399" t="str">
        <f>IF(L33=TRUE,SQRT(1/B33+1/K33),"")</f>
        <v/>
      </c>
      <c r="F35" s="399" t="str">
        <f>IF(L33=TRUE,D35-1.96*E35,"")</f>
        <v/>
      </c>
      <c r="G35" s="399" t="str">
        <f>IF(L33=TRUE,D35+1.96*E35,"")</f>
        <v/>
      </c>
      <c r="H35" s="40"/>
      <c r="I35" s="40"/>
      <c r="J35" s="289"/>
      <c r="K35" s="283"/>
      <c r="L35" s="283"/>
      <c r="M35" s="283"/>
      <c r="N35" s="283" t="e">
        <f>N33/N34</f>
        <v>#DIV/0!</v>
      </c>
      <c r="O35" s="291" t="s">
        <v>111</v>
      </c>
    </row>
    <row r="36" spans="1:15" ht="12" customHeight="1" x14ac:dyDescent="0.2">
      <c r="A36" s="40"/>
      <c r="B36" s="40"/>
      <c r="C36" s="40"/>
      <c r="D36" s="40"/>
      <c r="E36" s="40"/>
      <c r="F36" s="40"/>
      <c r="G36" s="40"/>
      <c r="H36" s="40"/>
      <c r="I36" s="40"/>
      <c r="J36" s="24"/>
      <c r="K36" s="24"/>
      <c r="L36" s="24"/>
      <c r="M36" s="24"/>
      <c r="N36" s="24"/>
      <c r="O36" s="24"/>
    </row>
    <row r="37" spans="1:15" ht="12" customHeight="1" x14ac:dyDescent="0.2">
      <c r="A37" s="40"/>
      <c r="B37" s="395"/>
      <c r="C37" s="395"/>
      <c r="D37" s="281" t="s">
        <v>118</v>
      </c>
      <c r="E37" s="136" t="s">
        <v>4</v>
      </c>
      <c r="F37" s="477" t="s">
        <v>77</v>
      </c>
      <c r="G37" s="478"/>
      <c r="H37" s="479" t="s">
        <v>75</v>
      </c>
      <c r="I37" s="478"/>
      <c r="J37" s="288" t="s">
        <v>4</v>
      </c>
      <c r="K37" s="284" t="s">
        <v>78</v>
      </c>
      <c r="L37" s="284" t="s">
        <v>79</v>
      </c>
      <c r="M37" s="283"/>
      <c r="N37" s="283"/>
      <c r="O37" s="291"/>
    </row>
    <row r="38" spans="1:15" x14ac:dyDescent="0.2">
      <c r="A38" s="329" t="s">
        <v>116</v>
      </c>
      <c r="B38" s="381"/>
      <c r="C38" s="396" t="s">
        <v>112</v>
      </c>
      <c r="D38" s="401" t="str">
        <f>IF(L38=TRUE,$D$5*N38,"")</f>
        <v/>
      </c>
      <c r="E38" s="403" t="str">
        <f>IF(L38=TRUE,$D$5*J38,"")</f>
        <v/>
      </c>
      <c r="F38" s="401" t="str">
        <f>IF(L38=TRUE,D38-1.96*E38,"")</f>
        <v/>
      </c>
      <c r="G38" s="402" t="str">
        <f>IF(L38=TRUE,D38+1.96*E38,"")</f>
        <v/>
      </c>
      <c r="H38" s="397" t="str">
        <f>IF(L38=TRUE,IF(B38=0,0,$D$5*B38/(B38+(B39-B38+1)*FINV(0.025,2*K38+2,2*B38))),"")</f>
        <v/>
      </c>
      <c r="I38" s="402" t="str">
        <f>IF(L38=TRUE,IF(B38=B39,$D$5,$D$5*(B38+1)/(B38+1+K38/FINV(0.025,2*B38+2,2*K38))),"")</f>
        <v/>
      </c>
      <c r="J38" s="288" t="str">
        <f>IF(L38=TRUE,SQRT(N38*N39/B39),"")</f>
        <v/>
      </c>
      <c r="K38" s="285">
        <f>B39-B38</f>
        <v>0</v>
      </c>
      <c r="L38" s="286" t="b">
        <f>AND(B39&gt;0,B39&gt;=B38,ROUND(B38,0)=B38,ROUND(B39,0)=B39)</f>
        <v>0</v>
      </c>
      <c r="M38" s="287"/>
      <c r="N38" s="283" t="e">
        <f>B38/B39</f>
        <v>#DIV/0!</v>
      </c>
      <c r="O38" s="291" t="s">
        <v>50</v>
      </c>
    </row>
    <row r="39" spans="1:15" x14ac:dyDescent="0.2">
      <c r="A39" s="338" t="s">
        <v>117</v>
      </c>
      <c r="B39" s="404"/>
      <c r="C39" s="396" t="s">
        <v>113</v>
      </c>
      <c r="D39" s="138" t="str">
        <f>IF(L38=TRUE,N40,"")</f>
        <v/>
      </c>
      <c r="E39" s="137"/>
      <c r="F39" s="138" t="str">
        <f>IF(L38=TRUE,EXP(F40),"")</f>
        <v/>
      </c>
      <c r="G39" s="139" t="str">
        <f>IF(L38=TRUE,EXP(G40),"")</f>
        <v/>
      </c>
      <c r="H39" s="400" t="str">
        <f>IF(L38=TRUE,(H38/$D$5)/(1-H38/$D$5),"")</f>
        <v/>
      </c>
      <c r="I39" s="139" t="str">
        <f>IF(L38=TRUE,(I38/$D$5)/(1-I38/$D$5),"")</f>
        <v/>
      </c>
      <c r="J39" s="288"/>
      <c r="K39" s="285"/>
      <c r="L39" s="284"/>
      <c r="M39" s="287"/>
      <c r="N39" s="283" t="e">
        <f>1-N38</f>
        <v>#DIV/0!</v>
      </c>
      <c r="O39" s="291" t="s">
        <v>110</v>
      </c>
    </row>
    <row r="40" spans="1:15" x14ac:dyDescent="0.2">
      <c r="A40" s="40"/>
      <c r="B40" s="40"/>
      <c r="C40" s="398" t="s">
        <v>114</v>
      </c>
      <c r="D40" s="399" t="str">
        <f>IF(L38=TRUE,LN(D39),"")</f>
        <v/>
      </c>
      <c r="E40" s="399" t="str">
        <f>IF(L38=TRUE,SQRT(1/B38+1/K38),"")</f>
        <v/>
      </c>
      <c r="F40" s="399" t="str">
        <f>IF(L38=TRUE,D40-1.96*E40,"")</f>
        <v/>
      </c>
      <c r="G40" s="399" t="str">
        <f>IF(L38=TRUE,D40+1.96*E40,"")</f>
        <v/>
      </c>
      <c r="H40" s="40"/>
      <c r="I40" s="40"/>
      <c r="J40" s="289"/>
      <c r="K40" s="283"/>
      <c r="L40" s="283"/>
      <c r="M40" s="283"/>
      <c r="N40" s="283" t="e">
        <f>N38/N39</f>
        <v>#DIV/0!</v>
      </c>
      <c r="O40" s="291" t="s">
        <v>111</v>
      </c>
    </row>
    <row r="41" spans="1:15" x14ac:dyDescent="0.2">
      <c r="A41" s="40"/>
      <c r="B41" s="40"/>
      <c r="C41" s="40"/>
      <c r="D41" s="40"/>
      <c r="E41" s="40"/>
      <c r="F41" s="40"/>
      <c r="G41" s="40"/>
      <c r="H41" s="40"/>
      <c r="I41" s="40"/>
      <c r="J41" s="24"/>
      <c r="K41" s="24"/>
      <c r="L41" s="24"/>
      <c r="M41" s="24"/>
      <c r="N41" s="24"/>
      <c r="O41" s="24"/>
    </row>
    <row r="42" spans="1:15" x14ac:dyDescent="0.2">
      <c r="A42" s="40"/>
      <c r="B42" s="395"/>
      <c r="C42" s="395"/>
      <c r="D42" s="281" t="s">
        <v>118</v>
      </c>
      <c r="E42" s="136" t="s">
        <v>4</v>
      </c>
      <c r="F42" s="477" t="s">
        <v>77</v>
      </c>
      <c r="G42" s="478"/>
      <c r="H42" s="479" t="s">
        <v>75</v>
      </c>
      <c r="I42" s="478"/>
      <c r="J42" s="288" t="s">
        <v>4</v>
      </c>
      <c r="K42" s="284" t="s">
        <v>78</v>
      </c>
      <c r="L42" s="284" t="s">
        <v>79</v>
      </c>
      <c r="M42" s="283"/>
      <c r="N42" s="283"/>
      <c r="O42" s="291"/>
    </row>
    <row r="43" spans="1:15" x14ac:dyDescent="0.2">
      <c r="A43" s="329" t="s">
        <v>116</v>
      </c>
      <c r="B43" s="381"/>
      <c r="C43" s="396" t="s">
        <v>112</v>
      </c>
      <c r="D43" s="401" t="str">
        <f>IF(L43=TRUE,$D$5*N43,"")</f>
        <v/>
      </c>
      <c r="E43" s="403" t="str">
        <f>IF(L43=TRUE,$D$5*J43,"")</f>
        <v/>
      </c>
      <c r="F43" s="401" t="str">
        <f>IF(L43=TRUE,D43-1.96*E43,"")</f>
        <v/>
      </c>
      <c r="G43" s="402" t="str">
        <f>IF(L43=TRUE,D43+1.96*E43,"")</f>
        <v/>
      </c>
      <c r="H43" s="397" t="str">
        <f>IF(L43=TRUE,IF(B43=0,0,$D$5*B43/(B43+(B44-B43+1)*FINV(0.025,2*K43+2,2*B43))),"")</f>
        <v/>
      </c>
      <c r="I43" s="402" t="str">
        <f>IF(L43=TRUE,IF(B43=B44,$D$5,$D$5*(B43+1)/(B43+1+K43/FINV(0.025,2*B43+2,2*K43))),"")</f>
        <v/>
      </c>
      <c r="J43" s="288" t="str">
        <f>IF(L43=TRUE,SQRT(N43*N44/B44),"")</f>
        <v/>
      </c>
      <c r="K43" s="285">
        <f>B44-B43</f>
        <v>0</v>
      </c>
      <c r="L43" s="286" t="b">
        <f>AND(B44&gt;0,B44&gt;=B43,ROUND(B43,0)=B43,ROUND(B44,0)=B44)</f>
        <v>0</v>
      </c>
      <c r="M43" s="287"/>
      <c r="N43" s="283" t="e">
        <f>B43/B44</f>
        <v>#DIV/0!</v>
      </c>
      <c r="O43" s="291" t="s">
        <v>50</v>
      </c>
    </row>
    <row r="44" spans="1:15" x14ac:dyDescent="0.2">
      <c r="A44" s="338" t="s">
        <v>117</v>
      </c>
      <c r="B44" s="404"/>
      <c r="C44" s="396" t="s">
        <v>113</v>
      </c>
      <c r="D44" s="138" t="str">
        <f>IF(L43=TRUE,N45,"")</f>
        <v/>
      </c>
      <c r="E44" s="137"/>
      <c r="F44" s="138" t="str">
        <f>IF(L43=TRUE,EXP(F45),"")</f>
        <v/>
      </c>
      <c r="G44" s="139" t="str">
        <f>IF(L43=TRUE,EXP(G45),"")</f>
        <v/>
      </c>
      <c r="H44" s="400" t="str">
        <f>IF(L43=TRUE,(H43/$D$5)/(1-H43/$D$5),"")</f>
        <v/>
      </c>
      <c r="I44" s="139" t="str">
        <f>IF(L43=TRUE,(I43/$D$5)/(1-I43/$D$5),"")</f>
        <v/>
      </c>
      <c r="J44" s="288"/>
      <c r="K44" s="285"/>
      <c r="L44" s="284"/>
      <c r="M44" s="287"/>
      <c r="N44" s="283" t="e">
        <f>1-N43</f>
        <v>#DIV/0!</v>
      </c>
      <c r="O44" s="291" t="s">
        <v>110</v>
      </c>
    </row>
    <row r="45" spans="1:15" x14ac:dyDescent="0.2">
      <c r="A45" s="40"/>
      <c r="B45" s="40"/>
      <c r="C45" s="398" t="s">
        <v>114</v>
      </c>
      <c r="D45" s="399" t="str">
        <f>IF(L43=TRUE,LN(D44),"")</f>
        <v/>
      </c>
      <c r="E45" s="399" t="str">
        <f>IF(L43=TRUE,SQRT(1/B43+1/K43),"")</f>
        <v/>
      </c>
      <c r="F45" s="399" t="str">
        <f>IF(L43=TRUE,D45-1.96*E45,"")</f>
        <v/>
      </c>
      <c r="G45" s="399" t="str">
        <f>IF(L43=TRUE,D45+1.96*E45,"")</f>
        <v/>
      </c>
      <c r="H45" s="40"/>
      <c r="I45" s="40"/>
      <c r="J45" s="289"/>
      <c r="K45" s="283"/>
      <c r="L45" s="283"/>
      <c r="M45" s="283"/>
      <c r="N45" s="283" t="e">
        <f>N43/N44</f>
        <v>#DIV/0!</v>
      </c>
      <c r="O45" s="291" t="s">
        <v>111</v>
      </c>
    </row>
    <row r="46" spans="1:15" x14ac:dyDescent="0.2">
      <c r="A46" s="40"/>
      <c r="B46" s="40"/>
      <c r="C46" s="40"/>
      <c r="D46" s="40"/>
      <c r="E46" s="40"/>
      <c r="F46" s="40"/>
      <c r="G46" s="40"/>
      <c r="H46" s="40"/>
      <c r="I46" s="40"/>
      <c r="J46" s="24"/>
      <c r="K46" s="24"/>
      <c r="L46" s="24"/>
      <c r="M46" s="24"/>
      <c r="N46" s="24"/>
      <c r="O46" s="24"/>
    </row>
  </sheetData>
  <sheetProtection sheet="1" objects="1" scenarios="1" formatCells="0" formatColumns="0"/>
  <mergeCells count="19">
    <mergeCell ref="B5:C5"/>
    <mergeCell ref="F7:G7"/>
    <mergeCell ref="H7:I7"/>
    <mergeCell ref="B1:F1"/>
    <mergeCell ref="I1:I2"/>
    <mergeCell ref="F42:G42"/>
    <mergeCell ref="H42:I42"/>
    <mergeCell ref="F22:G22"/>
    <mergeCell ref="H22:I22"/>
    <mergeCell ref="F12:G12"/>
    <mergeCell ref="F37:G37"/>
    <mergeCell ref="H37:I37"/>
    <mergeCell ref="H12:I12"/>
    <mergeCell ref="F17:G17"/>
    <mergeCell ref="H17:I17"/>
    <mergeCell ref="F27:G27"/>
    <mergeCell ref="H27:I27"/>
    <mergeCell ref="F32:G32"/>
    <mergeCell ref="H32:I32"/>
  </mergeCells>
  <phoneticPr fontId="9" type="noConversion"/>
  <conditionalFormatting sqref="C10:G10">
    <cfRule type="expression" dxfId="0" priority="1" stopIfTrue="1">
      <formula>"L9=sand"</formula>
    </cfRule>
  </conditionalFormatting>
  <hyperlinks>
    <hyperlink ref="I1:I2" location="Start!A1" display="Start"/>
  </hyperlinks>
  <pageMargins left="0.78740157480314965" right="0.78740157480314965" top="0.98425196850393704" bottom="0.98425196850393704" header="0" footer="0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J45"/>
  <sheetViews>
    <sheetView workbookViewId="0">
      <selection activeCell="H7" sqref="H7"/>
    </sheetView>
  </sheetViews>
  <sheetFormatPr defaultRowHeight="12.75" x14ac:dyDescent="0.2"/>
  <cols>
    <col min="1" max="1" width="8.7109375" customWidth="1"/>
    <col min="2" max="2" width="12.7109375" customWidth="1"/>
    <col min="3" max="8" width="9.7109375" customWidth="1"/>
    <col min="9" max="9" width="10.42578125" hidden="1" customWidth="1"/>
    <col min="10" max="10" width="0" hidden="1" customWidth="1"/>
  </cols>
  <sheetData>
    <row r="1" spans="1:10" x14ac:dyDescent="0.2">
      <c r="A1" s="7" t="s">
        <v>151</v>
      </c>
      <c r="B1" s="474" t="s">
        <v>152</v>
      </c>
      <c r="C1" s="474"/>
      <c r="D1" s="474"/>
      <c r="E1" s="7"/>
      <c r="H1" s="475" t="s">
        <v>186</v>
      </c>
    </row>
    <row r="2" spans="1:10" x14ac:dyDescent="0.2">
      <c r="A2" s="7"/>
      <c r="B2" s="317"/>
      <c r="C2" s="317"/>
      <c r="D2" s="317"/>
      <c r="E2" s="7"/>
      <c r="H2" s="476"/>
    </row>
    <row r="3" spans="1:10" x14ac:dyDescent="0.2">
      <c r="E3" s="15" t="s">
        <v>76</v>
      </c>
      <c r="G3" s="10"/>
      <c r="H3" s="10"/>
    </row>
    <row r="4" spans="1:10" ht="12" customHeight="1" x14ac:dyDescent="0.2">
      <c r="A4" s="24" t="s">
        <v>28</v>
      </c>
      <c r="B4" s="145">
        <v>1000</v>
      </c>
      <c r="C4" s="24"/>
      <c r="D4" s="24"/>
      <c r="E4" s="24"/>
      <c r="F4" s="24"/>
      <c r="G4" s="24"/>
      <c r="H4" s="24"/>
    </row>
    <row r="5" spans="1:10" ht="12" customHeight="1" x14ac:dyDescent="0.2">
      <c r="A5" s="24"/>
      <c r="B5" s="146"/>
      <c r="C5" s="24"/>
      <c r="D5" s="24"/>
      <c r="E5" s="24"/>
      <c r="F5" s="24"/>
      <c r="G5" s="24"/>
      <c r="H5" s="24"/>
    </row>
    <row r="6" spans="1:10" s="10" customFormat="1" ht="12" customHeight="1" x14ac:dyDescent="0.2">
      <c r="A6" s="383" t="s">
        <v>10</v>
      </c>
      <c r="B6" s="384" t="s">
        <v>11</v>
      </c>
      <c r="C6" s="136" t="s">
        <v>12</v>
      </c>
      <c r="D6" s="147" t="s">
        <v>4</v>
      </c>
      <c r="E6" s="477" t="s">
        <v>77</v>
      </c>
      <c r="F6" s="478"/>
      <c r="G6" s="484" t="s">
        <v>75</v>
      </c>
      <c r="H6" s="485"/>
      <c r="I6" s="10" t="s">
        <v>80</v>
      </c>
      <c r="J6" s="10" t="s">
        <v>81</v>
      </c>
    </row>
    <row r="7" spans="1:10" s="13" customFormat="1" ht="12" customHeight="1" x14ac:dyDescent="0.2">
      <c r="A7" s="385">
        <v>23</v>
      </c>
      <c r="B7" s="386">
        <v>1074</v>
      </c>
      <c r="C7" s="137">
        <f>IF(I7=TRUE,$B$4*A7/B7,"Invalid")</f>
        <v>21.415270018621975</v>
      </c>
      <c r="D7" s="148"/>
      <c r="E7" s="138">
        <f>IF(J7=TRUE,$B$4*EXP(E8),"")</f>
        <v>14.230904433308186</v>
      </c>
      <c r="F7" s="139">
        <f>IF(J7=TRUE,$B$4*EXP(F8),"")</f>
        <v>32.226608794946259</v>
      </c>
      <c r="G7" s="141">
        <f>IF(J7=TRUE,$B$4*0.5*CHIINV(0.975,2*A7)/B7,IF(I7=TRUE,0,""))</f>
        <v>13.575444168570463</v>
      </c>
      <c r="H7" s="144">
        <f>IF(I7=TRUE,$B$4*0.5*CHIINV(0.025,2*A7+2)/B7,"")</f>
        <v>32.133419827591283</v>
      </c>
      <c r="I7" s="13" t="b">
        <f>AND(A7&gt;=0,B7&gt;0,ROUND(A7,0)=A7)</f>
        <v>1</v>
      </c>
      <c r="J7" s="13" t="b">
        <f>AND(I7=TRUE,A7&gt;0)</f>
        <v>1</v>
      </c>
    </row>
    <row r="8" spans="1:10" ht="12" customHeight="1" x14ac:dyDescent="0.2">
      <c r="A8" s="486" t="s">
        <v>70</v>
      </c>
      <c r="B8" s="486"/>
      <c r="C8" s="149">
        <f>IF(J7=TRUE,LN(A7/B7),"")</f>
        <v>-3.8436510591396602</v>
      </c>
      <c r="D8" s="149">
        <f>IF(J7=TRUE,SQRT(1/A7),"")</f>
        <v>0.20851441405707477</v>
      </c>
      <c r="E8" s="150">
        <f>IF(J7=TRUE,C8-1.96*D8,"")</f>
        <v>-4.2523393106915268</v>
      </c>
      <c r="F8" s="150">
        <f>IF(J7=TRUE,C8+1.96*D8,"")</f>
        <v>-3.4349628075877936</v>
      </c>
      <c r="G8" s="24"/>
      <c r="H8" s="24"/>
    </row>
    <row r="9" spans="1:10" ht="12" customHeight="1" x14ac:dyDescent="0.2">
      <c r="A9" s="24"/>
      <c r="B9" s="24"/>
      <c r="C9" s="24"/>
      <c r="D9" s="24"/>
      <c r="E9" s="24"/>
      <c r="F9" s="24"/>
      <c r="G9" s="24"/>
      <c r="H9" s="24"/>
    </row>
    <row r="10" spans="1:10" ht="12" customHeight="1" x14ac:dyDescent="0.2">
      <c r="A10" s="383" t="s">
        <v>10</v>
      </c>
      <c r="B10" s="384" t="s">
        <v>11</v>
      </c>
      <c r="C10" s="136" t="s">
        <v>12</v>
      </c>
      <c r="D10" s="147" t="s">
        <v>4</v>
      </c>
      <c r="E10" s="477" t="s">
        <v>77</v>
      </c>
      <c r="F10" s="478"/>
      <c r="G10" s="484" t="s">
        <v>75</v>
      </c>
      <c r="H10" s="485"/>
      <c r="I10" s="10" t="s">
        <v>80</v>
      </c>
      <c r="J10" s="10" t="s">
        <v>81</v>
      </c>
    </row>
    <row r="11" spans="1:10" ht="12" customHeight="1" x14ac:dyDescent="0.2">
      <c r="A11" s="385"/>
      <c r="B11" s="386"/>
      <c r="C11" s="137" t="str">
        <f>IF(I11=TRUE,$B$4*A11/B11,"")</f>
        <v/>
      </c>
      <c r="D11" s="148"/>
      <c r="E11" s="138" t="str">
        <f>IF(J11=TRUE,$B$4*EXP(E12),"")</f>
        <v/>
      </c>
      <c r="F11" s="139" t="str">
        <f>IF(J11=TRUE,$B$4*EXP(F12),"")</f>
        <v/>
      </c>
      <c r="G11" s="141" t="str">
        <f>IF(J11=TRUE,$B$4*0.5*CHIINV(0.975,2*A11)/B11,IF(I11=TRUE,0,""))</f>
        <v/>
      </c>
      <c r="H11" s="144" t="str">
        <f>IF(I11=TRUE,$B$4*0.5*CHIINV(0.025,2*A11+2)/B11,"")</f>
        <v/>
      </c>
      <c r="I11" s="13" t="b">
        <f>AND(A11&gt;=0,B11&gt;0,ROUND(A11,0)=A11)</f>
        <v>0</v>
      </c>
      <c r="J11" s="13" t="b">
        <f>AND(I11=TRUE,A11&gt;0)</f>
        <v>0</v>
      </c>
    </row>
    <row r="12" spans="1:10" ht="12" customHeight="1" x14ac:dyDescent="0.2">
      <c r="A12" s="486" t="s">
        <v>70</v>
      </c>
      <c r="B12" s="486"/>
      <c r="C12" s="149" t="str">
        <f>IF(J11=TRUE,LN(A11/B11),"")</f>
        <v/>
      </c>
      <c r="D12" s="149" t="str">
        <f>IF(J11=TRUE,SQRT(1/A11),"")</f>
        <v/>
      </c>
      <c r="E12" s="150" t="str">
        <f>IF(J11=TRUE,C12-1.96*D12,"")</f>
        <v/>
      </c>
      <c r="F12" s="150" t="str">
        <f>IF(J11=TRUE,C12+1.96*D12,"")</f>
        <v/>
      </c>
      <c r="G12" s="24"/>
      <c r="H12" s="24"/>
    </row>
    <row r="13" spans="1:10" ht="12" customHeight="1" x14ac:dyDescent="0.2">
      <c r="A13" s="24"/>
      <c r="B13" s="24"/>
      <c r="C13" s="24"/>
      <c r="D13" s="24"/>
      <c r="E13" s="24"/>
      <c r="F13" s="24"/>
      <c r="G13" s="24"/>
      <c r="H13" s="24"/>
    </row>
    <row r="14" spans="1:10" ht="12" customHeight="1" x14ac:dyDescent="0.2">
      <c r="A14" s="383" t="s">
        <v>10</v>
      </c>
      <c r="B14" s="384" t="s">
        <v>11</v>
      </c>
      <c r="C14" s="136" t="s">
        <v>12</v>
      </c>
      <c r="D14" s="147" t="s">
        <v>4</v>
      </c>
      <c r="E14" s="477" t="s">
        <v>77</v>
      </c>
      <c r="F14" s="478"/>
      <c r="G14" s="484" t="s">
        <v>75</v>
      </c>
      <c r="H14" s="485"/>
      <c r="I14" s="10" t="s">
        <v>80</v>
      </c>
      <c r="J14" s="10" t="s">
        <v>81</v>
      </c>
    </row>
    <row r="15" spans="1:10" ht="12" customHeight="1" x14ac:dyDescent="0.2">
      <c r="A15" s="385"/>
      <c r="B15" s="386"/>
      <c r="C15" s="137" t="str">
        <f>IF(I15=TRUE,$B$4*A15/B15,"")</f>
        <v/>
      </c>
      <c r="D15" s="148"/>
      <c r="E15" s="138" t="str">
        <f>IF(J15=TRUE,$B$4*EXP(E16),"")</f>
        <v/>
      </c>
      <c r="F15" s="139" t="str">
        <f>IF(J15=TRUE,$B$4*EXP(F16),"")</f>
        <v/>
      </c>
      <c r="G15" s="141" t="str">
        <f>IF(J15=TRUE,$B$4*0.5*CHIINV(0.975,2*A15)/B15,IF(I15=TRUE,0,""))</f>
        <v/>
      </c>
      <c r="H15" s="144" t="str">
        <f>IF(I15=TRUE,$B$4*0.5*CHIINV(0.025,2*A15+2)/B15,"")</f>
        <v/>
      </c>
      <c r="I15" s="13" t="b">
        <f>AND(A15&gt;=0,B15&gt;0,ROUND(A15,0)=A15)</f>
        <v>0</v>
      </c>
      <c r="J15" s="13" t="b">
        <f>AND(I15=TRUE,A15&gt;0)</f>
        <v>0</v>
      </c>
    </row>
    <row r="16" spans="1:10" ht="12" customHeight="1" x14ac:dyDescent="0.2">
      <c r="A16" s="486" t="s">
        <v>70</v>
      </c>
      <c r="B16" s="486"/>
      <c r="C16" s="149" t="str">
        <f>IF(J15=TRUE,LN(A15/B15),"")</f>
        <v/>
      </c>
      <c r="D16" s="149" t="str">
        <f>IF(J15=TRUE,SQRT(1/A15),"")</f>
        <v/>
      </c>
      <c r="E16" s="150" t="str">
        <f>IF(J15=TRUE,C16-1.96*D16,"")</f>
        <v/>
      </c>
      <c r="F16" s="150" t="str">
        <f>IF(J15=TRUE,C16+1.96*D16,"")</f>
        <v/>
      </c>
      <c r="G16" s="24"/>
      <c r="H16" s="24"/>
    </row>
    <row r="17" spans="1:10" ht="12" customHeight="1" x14ac:dyDescent="0.2">
      <c r="A17" s="24"/>
      <c r="B17" s="24"/>
      <c r="C17" s="24"/>
      <c r="D17" s="24"/>
      <c r="E17" s="24"/>
      <c r="F17" s="24"/>
      <c r="G17" s="24"/>
      <c r="H17" s="24"/>
    </row>
    <row r="18" spans="1:10" ht="12" customHeight="1" x14ac:dyDescent="0.2">
      <c r="A18" s="383" t="s">
        <v>10</v>
      </c>
      <c r="B18" s="384" t="s">
        <v>11</v>
      </c>
      <c r="C18" s="136" t="s">
        <v>12</v>
      </c>
      <c r="D18" s="147" t="s">
        <v>4</v>
      </c>
      <c r="E18" s="477" t="s">
        <v>77</v>
      </c>
      <c r="F18" s="478"/>
      <c r="G18" s="484" t="s">
        <v>75</v>
      </c>
      <c r="H18" s="485"/>
      <c r="I18" s="10" t="s">
        <v>80</v>
      </c>
      <c r="J18" s="10" t="s">
        <v>81</v>
      </c>
    </row>
    <row r="19" spans="1:10" ht="12" customHeight="1" x14ac:dyDescent="0.2">
      <c r="A19" s="385"/>
      <c r="B19" s="386"/>
      <c r="C19" s="137" t="str">
        <f>IF(I19=TRUE,$B$4*A19/B19,"")</f>
        <v/>
      </c>
      <c r="D19" s="148"/>
      <c r="E19" s="138" t="str">
        <f>IF(J19=TRUE,$B$4*EXP(E20),"")</f>
        <v/>
      </c>
      <c r="F19" s="139" t="str">
        <f>IF(J19=TRUE,$B$4*EXP(F20),"")</f>
        <v/>
      </c>
      <c r="G19" s="141" t="str">
        <f>IF(J19=TRUE,$B$4*0.5*CHIINV(0.975,2*A19)/B19,IF(I19=TRUE,0,""))</f>
        <v/>
      </c>
      <c r="H19" s="144" t="str">
        <f>IF(I19=TRUE,$B$4*0.5*CHIINV(0.025,2*A19+2)/B19,"")</f>
        <v/>
      </c>
      <c r="I19" s="13" t="b">
        <f>AND(A19&gt;=0,B19&gt;0,ROUND(A19,0)=A19)</f>
        <v>0</v>
      </c>
      <c r="J19" s="13" t="b">
        <f>AND(I19=TRUE,A19&gt;0)</f>
        <v>0</v>
      </c>
    </row>
    <row r="20" spans="1:10" ht="12" customHeight="1" x14ac:dyDescent="0.2">
      <c r="A20" s="486" t="s">
        <v>70</v>
      </c>
      <c r="B20" s="486"/>
      <c r="C20" s="149" t="str">
        <f>IF(J19=TRUE,LN(A19/B19),"")</f>
        <v/>
      </c>
      <c r="D20" s="149" t="str">
        <f>IF(J19=TRUE,SQRT(1/A19),"")</f>
        <v/>
      </c>
      <c r="E20" s="150" t="str">
        <f>IF(J19=TRUE,C20-1.96*D20,"")</f>
        <v/>
      </c>
      <c r="F20" s="150" t="str">
        <f>IF(J19=TRUE,C20+1.96*D20,"")</f>
        <v/>
      </c>
      <c r="G20" s="24"/>
      <c r="H20" s="24"/>
    </row>
    <row r="21" spans="1:10" ht="12" customHeight="1" x14ac:dyDescent="0.2">
      <c r="A21" s="24"/>
      <c r="B21" s="24"/>
      <c r="C21" s="24"/>
      <c r="D21" s="24"/>
      <c r="E21" s="24"/>
      <c r="F21" s="24"/>
      <c r="G21" s="24"/>
      <c r="H21" s="24"/>
    </row>
    <row r="22" spans="1:10" ht="12" customHeight="1" x14ac:dyDescent="0.2">
      <c r="A22" s="383" t="s">
        <v>10</v>
      </c>
      <c r="B22" s="384" t="s">
        <v>11</v>
      </c>
      <c r="C22" s="136" t="s">
        <v>12</v>
      </c>
      <c r="D22" s="147" t="s">
        <v>4</v>
      </c>
      <c r="E22" s="477" t="s">
        <v>77</v>
      </c>
      <c r="F22" s="478"/>
      <c r="G22" s="484" t="s">
        <v>75</v>
      </c>
      <c r="H22" s="485"/>
      <c r="I22" s="10" t="s">
        <v>80</v>
      </c>
      <c r="J22" s="10" t="s">
        <v>81</v>
      </c>
    </row>
    <row r="23" spans="1:10" ht="12" customHeight="1" x14ac:dyDescent="0.2">
      <c r="A23" s="385"/>
      <c r="B23" s="386"/>
      <c r="C23" s="137" t="str">
        <f>IF(I23=TRUE,$B$4*A23/B23,"")</f>
        <v/>
      </c>
      <c r="D23" s="148"/>
      <c r="E23" s="138" t="str">
        <f>IF(J23=TRUE,$B$4*EXP(E24),"")</f>
        <v/>
      </c>
      <c r="F23" s="139" t="str">
        <f>IF(J23=TRUE,$B$4*EXP(F24),"")</f>
        <v/>
      </c>
      <c r="G23" s="141" t="str">
        <f>IF(J23=TRUE,$B$4*0.5*CHIINV(0.975,2*A23)/B23,IF(I23=TRUE,0,""))</f>
        <v/>
      </c>
      <c r="H23" s="144" t="str">
        <f>IF(I23=TRUE,$B$4*0.5*CHIINV(0.025,2*A23+2)/B23,"")</f>
        <v/>
      </c>
      <c r="I23" s="13" t="b">
        <f>AND(A23&gt;=0,B23&gt;0,ROUND(A23,0)=A23)</f>
        <v>0</v>
      </c>
      <c r="J23" s="13" t="b">
        <f>AND(I23=TRUE,A23&gt;0)</f>
        <v>0</v>
      </c>
    </row>
    <row r="24" spans="1:10" ht="12" customHeight="1" x14ac:dyDescent="0.2">
      <c r="A24" s="486" t="s">
        <v>70</v>
      </c>
      <c r="B24" s="486"/>
      <c r="C24" s="149" t="str">
        <f>IF(J23=TRUE,LN(A23/B23),"")</f>
        <v/>
      </c>
      <c r="D24" s="149" t="str">
        <f>IF(J23=TRUE,SQRT(1/A23),"")</f>
        <v/>
      </c>
      <c r="E24" s="150" t="str">
        <f>IF(J23=TRUE,C24-1.96*D24,"")</f>
        <v/>
      </c>
      <c r="F24" s="150" t="str">
        <f>IF(J23=TRUE,C24+1.96*D24,"")</f>
        <v/>
      </c>
      <c r="G24" s="24"/>
      <c r="H24" s="24"/>
    </row>
    <row r="25" spans="1:10" ht="12" customHeight="1" x14ac:dyDescent="0.2">
      <c r="A25" s="24"/>
      <c r="B25" s="24"/>
      <c r="C25" s="24"/>
      <c r="D25" s="24"/>
      <c r="E25" s="24"/>
      <c r="F25" s="24"/>
      <c r="G25" s="24"/>
      <c r="H25" s="24"/>
    </row>
    <row r="26" spans="1:10" ht="12" customHeight="1" x14ac:dyDescent="0.2">
      <c r="A26" s="383" t="s">
        <v>10</v>
      </c>
      <c r="B26" s="384" t="s">
        <v>11</v>
      </c>
      <c r="C26" s="136" t="s">
        <v>12</v>
      </c>
      <c r="D26" s="147" t="s">
        <v>4</v>
      </c>
      <c r="E26" s="477" t="s">
        <v>77</v>
      </c>
      <c r="F26" s="478"/>
      <c r="G26" s="484" t="s">
        <v>75</v>
      </c>
      <c r="H26" s="485"/>
      <c r="I26" s="10" t="s">
        <v>80</v>
      </c>
      <c r="J26" s="10" t="s">
        <v>81</v>
      </c>
    </row>
    <row r="27" spans="1:10" ht="12" customHeight="1" x14ac:dyDescent="0.2">
      <c r="A27" s="385"/>
      <c r="B27" s="386"/>
      <c r="C27" s="137" t="str">
        <f>IF(I27=TRUE,$B$4*A27/B27,"")</f>
        <v/>
      </c>
      <c r="D27" s="148"/>
      <c r="E27" s="138" t="str">
        <f>IF(J27=TRUE,$B$4*EXP(E28),"")</f>
        <v/>
      </c>
      <c r="F27" s="139" t="str">
        <f>IF(J27=TRUE,$B$4*EXP(F28),"")</f>
        <v/>
      </c>
      <c r="G27" s="141" t="str">
        <f>IF(J27=TRUE,$B$4*0.5*CHIINV(0.975,2*A27)/B27,IF(I27=TRUE,0,""))</f>
        <v/>
      </c>
      <c r="H27" s="144" t="str">
        <f>IF(I27=TRUE,$B$4*0.5*CHIINV(0.025,2*A27+2)/B27,"")</f>
        <v/>
      </c>
      <c r="I27" s="13" t="b">
        <f>AND(A27&gt;=0,B27&gt;0,ROUND(A27,0)=A27)</f>
        <v>0</v>
      </c>
      <c r="J27" s="13" t="b">
        <f>AND(I27=TRUE,A27&gt;0)</f>
        <v>0</v>
      </c>
    </row>
    <row r="28" spans="1:10" ht="12" customHeight="1" x14ac:dyDescent="0.2">
      <c r="A28" s="486" t="s">
        <v>70</v>
      </c>
      <c r="B28" s="486"/>
      <c r="C28" s="149" t="str">
        <f>IF(J27=TRUE,LN(A27/B27),"")</f>
        <v/>
      </c>
      <c r="D28" s="149" t="str">
        <f>IF(J27=TRUE,SQRT(1/A27),"")</f>
        <v/>
      </c>
      <c r="E28" s="150" t="str">
        <f>IF(J27=TRUE,C28-1.96*D28,"")</f>
        <v/>
      </c>
      <c r="F28" s="150" t="str">
        <f>IF(J27=TRUE,C28+1.96*D28,"")</f>
        <v/>
      </c>
      <c r="G28" s="24"/>
      <c r="H28" s="24"/>
    </row>
    <row r="29" spans="1:10" ht="12" customHeight="1" x14ac:dyDescent="0.2">
      <c r="A29" s="24"/>
      <c r="B29" s="24"/>
      <c r="C29" s="24"/>
      <c r="D29" s="24"/>
      <c r="E29" s="24"/>
      <c r="F29" s="24"/>
      <c r="G29" s="24"/>
      <c r="H29" s="24"/>
    </row>
    <row r="30" spans="1:10" ht="12" customHeight="1" x14ac:dyDescent="0.2">
      <c r="A30" s="383" t="s">
        <v>10</v>
      </c>
      <c r="B30" s="384" t="s">
        <v>11</v>
      </c>
      <c r="C30" s="136" t="s">
        <v>12</v>
      </c>
      <c r="D30" s="147" t="s">
        <v>4</v>
      </c>
      <c r="E30" s="477" t="s">
        <v>77</v>
      </c>
      <c r="F30" s="478"/>
      <c r="G30" s="484" t="s">
        <v>75</v>
      </c>
      <c r="H30" s="485"/>
      <c r="I30" s="10" t="s">
        <v>80</v>
      </c>
      <c r="J30" s="10" t="s">
        <v>81</v>
      </c>
    </row>
    <row r="31" spans="1:10" ht="12" customHeight="1" x14ac:dyDescent="0.2">
      <c r="A31" s="385"/>
      <c r="B31" s="386"/>
      <c r="C31" s="137" t="str">
        <f>IF(I31=TRUE,$B$4*A31/B31,"")</f>
        <v/>
      </c>
      <c r="D31" s="148"/>
      <c r="E31" s="138" t="str">
        <f>IF(J31=TRUE,$B$4*EXP(E32),"")</f>
        <v/>
      </c>
      <c r="F31" s="139" t="str">
        <f>IF(J31=TRUE,$B$4*EXP(F32),"")</f>
        <v/>
      </c>
      <c r="G31" s="141" t="str">
        <f>IF(J31=TRUE,$B$4*0.5*CHIINV(0.975,2*A31)/B31,IF(I31=TRUE,0,""))</f>
        <v/>
      </c>
      <c r="H31" s="144" t="str">
        <f>IF(I31=TRUE,$B$4*0.5*CHIINV(0.025,2*A31+2)/B31,"")</f>
        <v/>
      </c>
      <c r="I31" s="13" t="b">
        <f>AND(A31&gt;=0,B31&gt;0,ROUND(A31,0)=A31)</f>
        <v>0</v>
      </c>
      <c r="J31" s="13" t="b">
        <f>AND(I31=TRUE,A31&gt;0)</f>
        <v>0</v>
      </c>
    </row>
    <row r="32" spans="1:10" ht="12" customHeight="1" x14ac:dyDescent="0.2">
      <c r="A32" s="486" t="s">
        <v>70</v>
      </c>
      <c r="B32" s="486"/>
      <c r="C32" s="149" t="str">
        <f>IF(J31=TRUE,LN(A31/B31),"")</f>
        <v/>
      </c>
      <c r="D32" s="149" t="str">
        <f>IF(J31=TRUE,SQRT(1/A31),"")</f>
        <v/>
      </c>
      <c r="E32" s="150" t="str">
        <f>IF(J31=TRUE,C32-1.96*D32,"")</f>
        <v/>
      </c>
      <c r="F32" s="150" t="str">
        <f>IF(J31=TRUE,C32+1.96*D32,"")</f>
        <v/>
      </c>
      <c r="G32" s="24"/>
      <c r="H32" s="24"/>
    </row>
    <row r="33" spans="1:10" ht="12" customHeight="1" x14ac:dyDescent="0.2">
      <c r="A33" s="24"/>
      <c r="B33" s="24"/>
      <c r="C33" s="24"/>
      <c r="D33" s="24"/>
      <c r="E33" s="24"/>
      <c r="F33" s="24"/>
      <c r="G33" s="24"/>
      <c r="H33" s="24"/>
    </row>
    <row r="34" spans="1:10" ht="12" customHeight="1" x14ac:dyDescent="0.2">
      <c r="A34" s="383" t="s">
        <v>10</v>
      </c>
      <c r="B34" s="384" t="s">
        <v>11</v>
      </c>
      <c r="C34" s="136" t="s">
        <v>12</v>
      </c>
      <c r="D34" s="147" t="s">
        <v>4</v>
      </c>
      <c r="E34" s="477" t="s">
        <v>77</v>
      </c>
      <c r="F34" s="478"/>
      <c r="G34" s="484" t="s">
        <v>75</v>
      </c>
      <c r="H34" s="485"/>
      <c r="I34" s="10" t="s">
        <v>80</v>
      </c>
      <c r="J34" s="10" t="s">
        <v>81</v>
      </c>
    </row>
    <row r="35" spans="1:10" ht="12" customHeight="1" x14ac:dyDescent="0.2">
      <c r="A35" s="385"/>
      <c r="B35" s="386"/>
      <c r="C35" s="137" t="str">
        <f>IF(I35=TRUE,$B$4*A35/B35,"")</f>
        <v/>
      </c>
      <c r="D35" s="148"/>
      <c r="E35" s="138" t="str">
        <f>IF(J35=TRUE,$B$4*EXP(E36),"")</f>
        <v/>
      </c>
      <c r="F35" s="139" t="str">
        <f>IF(J35=TRUE,$B$4*EXP(F36),"")</f>
        <v/>
      </c>
      <c r="G35" s="141" t="str">
        <f>IF(J35=TRUE,$B$4*0.5*CHIINV(0.975,2*A35)/B35,IF(I35=TRUE,0,""))</f>
        <v/>
      </c>
      <c r="H35" s="144" t="str">
        <f>IF(I35=TRUE,$B$4*0.5*CHIINV(0.025,2*A35+2)/B35,"")</f>
        <v/>
      </c>
      <c r="I35" s="13" t="b">
        <f>AND(A35&gt;=0,B35&gt;0,ROUND(A35,0)=A35)</f>
        <v>0</v>
      </c>
      <c r="J35" s="13" t="b">
        <f>AND(I35=TRUE,A35&gt;0)</f>
        <v>0</v>
      </c>
    </row>
    <row r="36" spans="1:10" ht="12" customHeight="1" x14ac:dyDescent="0.2">
      <c r="A36" s="486" t="s">
        <v>70</v>
      </c>
      <c r="B36" s="486"/>
      <c r="C36" s="149" t="str">
        <f>IF(J35=TRUE,LN(A35/B35),"")</f>
        <v/>
      </c>
      <c r="D36" s="149" t="str">
        <f>IF(J35=TRUE,SQRT(1/A35),"")</f>
        <v/>
      </c>
      <c r="E36" s="150" t="str">
        <f>IF(J35=TRUE,C36-1.96*D36,"")</f>
        <v/>
      </c>
      <c r="F36" s="150" t="str">
        <f>IF(J35=TRUE,C36+1.96*D36,"")</f>
        <v/>
      </c>
      <c r="G36" s="24"/>
      <c r="H36" s="24"/>
    </row>
    <row r="37" spans="1:10" ht="12" customHeight="1" x14ac:dyDescent="0.2">
      <c r="A37" s="24"/>
      <c r="B37" s="24"/>
      <c r="C37" s="24"/>
      <c r="D37" s="24"/>
      <c r="E37" s="24"/>
      <c r="F37" s="24"/>
      <c r="G37" s="24"/>
      <c r="H37" s="24"/>
    </row>
    <row r="38" spans="1:10" ht="12" customHeight="1" x14ac:dyDescent="0.2">
      <c r="A38" s="383" t="s">
        <v>10</v>
      </c>
      <c r="B38" s="384" t="s">
        <v>11</v>
      </c>
      <c r="C38" s="136" t="s">
        <v>12</v>
      </c>
      <c r="D38" s="147" t="s">
        <v>4</v>
      </c>
      <c r="E38" s="477" t="s">
        <v>77</v>
      </c>
      <c r="F38" s="478"/>
      <c r="G38" s="484" t="s">
        <v>75</v>
      </c>
      <c r="H38" s="485"/>
      <c r="I38" s="10" t="s">
        <v>80</v>
      </c>
      <c r="J38" s="10" t="s">
        <v>81</v>
      </c>
    </row>
    <row r="39" spans="1:10" ht="12" customHeight="1" x14ac:dyDescent="0.2">
      <c r="A39" s="385"/>
      <c r="B39" s="386"/>
      <c r="C39" s="137" t="str">
        <f>IF(I39=TRUE,$B$4*A39/B39,"")</f>
        <v/>
      </c>
      <c r="D39" s="148"/>
      <c r="E39" s="138" t="str">
        <f>IF(J39=TRUE,$B$4*EXP(E40),"")</f>
        <v/>
      </c>
      <c r="F39" s="139" t="str">
        <f>IF(J39=TRUE,$B$4*EXP(F40),"")</f>
        <v/>
      </c>
      <c r="G39" s="141" t="str">
        <f>IF(J39=TRUE,$B$4*0.5*CHIINV(0.975,2*A39)/B39,IF(I39=TRUE,0,""))</f>
        <v/>
      </c>
      <c r="H39" s="144" t="str">
        <f>IF(I39=TRUE,$B$4*0.5*CHIINV(0.025,2*A39+2)/B39,"")</f>
        <v/>
      </c>
      <c r="I39" s="13" t="b">
        <f>AND(A39&gt;=0,B39&gt;0,ROUND(A39,0)=A39)</f>
        <v>0</v>
      </c>
      <c r="J39" s="13" t="b">
        <f>AND(I39=TRUE,A39&gt;0)</f>
        <v>0</v>
      </c>
    </row>
    <row r="40" spans="1:10" ht="12" customHeight="1" x14ac:dyDescent="0.2">
      <c r="A40" s="486" t="s">
        <v>70</v>
      </c>
      <c r="B40" s="486"/>
      <c r="C40" s="149" t="str">
        <f>IF(J39=TRUE,LN(A39/B39),"")</f>
        <v/>
      </c>
      <c r="D40" s="149" t="str">
        <f>IF(J39=TRUE,SQRT(1/A39),"")</f>
        <v/>
      </c>
      <c r="E40" s="150" t="str">
        <f>IF(J39=TRUE,C40-1.96*D40,"")</f>
        <v/>
      </c>
      <c r="F40" s="150" t="str">
        <f>IF(J39=TRUE,C40+1.96*D40,"")</f>
        <v/>
      </c>
      <c r="G40" s="24"/>
      <c r="H40" s="24"/>
    </row>
    <row r="41" spans="1:10" ht="12" customHeight="1" x14ac:dyDescent="0.2">
      <c r="A41" s="24"/>
      <c r="B41" s="24"/>
      <c r="C41" s="24"/>
      <c r="D41" s="24"/>
      <c r="E41" s="24"/>
      <c r="F41" s="24"/>
      <c r="G41" s="24"/>
      <c r="H41" s="24"/>
    </row>
    <row r="42" spans="1:10" ht="12" customHeight="1" x14ac:dyDescent="0.2">
      <c r="A42" s="383" t="s">
        <v>10</v>
      </c>
      <c r="B42" s="384" t="s">
        <v>11</v>
      </c>
      <c r="C42" s="136" t="s">
        <v>12</v>
      </c>
      <c r="D42" s="147" t="s">
        <v>4</v>
      </c>
      <c r="E42" s="477" t="s">
        <v>77</v>
      </c>
      <c r="F42" s="478"/>
      <c r="G42" s="484" t="s">
        <v>75</v>
      </c>
      <c r="H42" s="485"/>
      <c r="I42" s="10" t="s">
        <v>80</v>
      </c>
      <c r="J42" s="10" t="s">
        <v>81</v>
      </c>
    </row>
    <row r="43" spans="1:10" ht="12" customHeight="1" x14ac:dyDescent="0.2">
      <c r="A43" s="385"/>
      <c r="B43" s="386"/>
      <c r="C43" s="137" t="str">
        <f>IF(I43=TRUE,$B$4*A43/B43,"")</f>
        <v/>
      </c>
      <c r="D43" s="148"/>
      <c r="E43" s="138" t="str">
        <f>IF(J43=TRUE,$B$4*EXP(E44),"")</f>
        <v/>
      </c>
      <c r="F43" s="139" t="str">
        <f>IF(J43=TRUE,$B$4*EXP(F44),"")</f>
        <v/>
      </c>
      <c r="G43" s="141" t="str">
        <f>IF(J43=TRUE,$B$4*0.5*CHIINV(0.975,2*A43)/B43,IF(I43=TRUE,0,""))</f>
        <v/>
      </c>
      <c r="H43" s="144" t="str">
        <f>IF(I43=TRUE,$B$4*0.5*CHIINV(0.025,2*A43+2)/B43,"")</f>
        <v/>
      </c>
      <c r="I43" s="13" t="b">
        <f>AND(A43&gt;=0,B43&gt;0,ROUND(A43,0)=A43)</f>
        <v>0</v>
      </c>
      <c r="J43" s="13" t="b">
        <f>AND(I43=TRUE,A43&gt;0)</f>
        <v>0</v>
      </c>
    </row>
    <row r="44" spans="1:10" ht="12" customHeight="1" x14ac:dyDescent="0.2">
      <c r="A44" s="486" t="s">
        <v>70</v>
      </c>
      <c r="B44" s="486"/>
      <c r="C44" s="149" t="str">
        <f>IF(J43=TRUE,LN(A43/B43),"")</f>
        <v/>
      </c>
      <c r="D44" s="149" t="str">
        <f>IF(J43=TRUE,SQRT(1/A43),"")</f>
        <v/>
      </c>
      <c r="E44" s="150" t="str">
        <f>IF(J43=TRUE,C44-1.96*D44,"")</f>
        <v/>
      </c>
      <c r="F44" s="150" t="str">
        <f>IF(J43=TRUE,C44+1.96*D44,"")</f>
        <v/>
      </c>
      <c r="G44" s="24"/>
      <c r="H44" s="24"/>
    </row>
    <row r="45" spans="1:10" ht="12" customHeight="1" x14ac:dyDescent="0.2">
      <c r="A45" s="24"/>
      <c r="B45" s="24"/>
      <c r="C45" s="24"/>
      <c r="D45" s="24"/>
      <c r="E45" s="24"/>
      <c r="F45" s="24"/>
      <c r="G45" s="24"/>
      <c r="H45" s="24"/>
    </row>
  </sheetData>
  <sheetProtection sheet="1" objects="1" scenarios="1" formatCells="0" formatColumns="0"/>
  <mergeCells count="32">
    <mergeCell ref="H1:H2"/>
    <mergeCell ref="B1:D1"/>
    <mergeCell ref="A40:B40"/>
    <mergeCell ref="A44:B44"/>
    <mergeCell ref="A24:B24"/>
    <mergeCell ref="A28:B28"/>
    <mergeCell ref="A32:B32"/>
    <mergeCell ref="A36:B36"/>
    <mergeCell ref="A8:B8"/>
    <mergeCell ref="A12:B12"/>
    <mergeCell ref="A16:B16"/>
    <mergeCell ref="A20:B20"/>
    <mergeCell ref="E38:F38"/>
    <mergeCell ref="G38:H38"/>
    <mergeCell ref="E22:F22"/>
    <mergeCell ref="G22:H22"/>
    <mergeCell ref="E42:F42"/>
    <mergeCell ref="G42:H42"/>
    <mergeCell ref="E26:F26"/>
    <mergeCell ref="E30:F30"/>
    <mergeCell ref="G30:H30"/>
    <mergeCell ref="E34:F34"/>
    <mergeCell ref="G34:H34"/>
    <mergeCell ref="G26:H26"/>
    <mergeCell ref="G6:H6"/>
    <mergeCell ref="E6:F6"/>
    <mergeCell ref="E18:F18"/>
    <mergeCell ref="G18:H18"/>
    <mergeCell ref="E10:F10"/>
    <mergeCell ref="G10:H10"/>
    <mergeCell ref="E14:F14"/>
    <mergeCell ref="G14:H14"/>
  </mergeCells>
  <phoneticPr fontId="0" type="noConversion"/>
  <hyperlinks>
    <hyperlink ref="H1:H2" location="Start!A1" display="Start"/>
  </hyperlinks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44"/>
  <sheetViews>
    <sheetView tabSelected="1" workbookViewId="0">
      <selection activeCell="D14" sqref="D14"/>
    </sheetView>
  </sheetViews>
  <sheetFormatPr defaultRowHeight="12.75" x14ac:dyDescent="0.2"/>
  <cols>
    <col min="1" max="1" width="8" customWidth="1"/>
    <col min="2" max="10" width="8.7109375" customWidth="1"/>
  </cols>
  <sheetData>
    <row r="1" spans="1:10" x14ac:dyDescent="0.2">
      <c r="A1" s="7" t="s">
        <v>155</v>
      </c>
      <c r="C1" s="494" t="s">
        <v>207</v>
      </c>
      <c r="D1" s="494"/>
      <c r="E1" s="494"/>
      <c r="F1" s="494"/>
      <c r="G1" s="494"/>
      <c r="H1" s="494"/>
      <c r="J1" s="475" t="s">
        <v>186</v>
      </c>
    </row>
    <row r="2" spans="1:10" x14ac:dyDescent="0.2">
      <c r="A2" s="7"/>
      <c r="B2" s="7"/>
      <c r="H2" s="15"/>
      <c r="J2" s="476"/>
    </row>
    <row r="4" spans="1:10" ht="12" customHeight="1" x14ac:dyDescent="0.2">
      <c r="A4" s="497" t="s">
        <v>265</v>
      </c>
      <c r="B4" s="498"/>
      <c r="C4" s="498"/>
      <c r="D4" s="498"/>
      <c r="E4" s="498"/>
      <c r="F4" s="498"/>
      <c r="G4" s="498"/>
      <c r="H4" s="499"/>
      <c r="I4" s="24"/>
      <c r="J4" s="24"/>
    </row>
    <row r="5" spans="1:10" ht="12" customHeight="1" x14ac:dyDescent="0.2">
      <c r="A5" s="500" t="s">
        <v>264</v>
      </c>
      <c r="B5" s="501"/>
      <c r="C5" s="501"/>
      <c r="D5" s="501"/>
      <c r="E5" s="501"/>
      <c r="F5" s="501"/>
      <c r="G5" s="501"/>
      <c r="H5" s="502"/>
      <c r="I5" s="24"/>
      <c r="J5" s="24"/>
    </row>
    <row r="6" spans="1:10" ht="12" customHeight="1" x14ac:dyDescent="0.2">
      <c r="A6" s="24"/>
      <c r="B6" s="24"/>
      <c r="C6" s="24"/>
      <c r="D6" s="24"/>
      <c r="E6" s="24"/>
      <c r="F6" s="24"/>
      <c r="G6" s="24"/>
      <c r="H6" s="24"/>
      <c r="I6" s="24"/>
      <c r="J6" s="24"/>
    </row>
    <row r="7" spans="1:10" ht="12" customHeight="1" x14ac:dyDescent="0.2">
      <c r="A7" s="495" t="s">
        <v>205</v>
      </c>
      <c r="B7" s="488" t="s">
        <v>6</v>
      </c>
      <c r="C7" s="488"/>
      <c r="D7" s="59"/>
      <c r="E7" s="471" t="s">
        <v>128</v>
      </c>
      <c r="F7" s="473"/>
      <c r="G7" s="473"/>
      <c r="H7" s="473"/>
      <c r="I7" s="473"/>
      <c r="J7" s="472"/>
    </row>
    <row r="8" spans="1:10" ht="12" customHeight="1" x14ac:dyDescent="0.2">
      <c r="A8" s="496"/>
      <c r="B8" s="28" t="s">
        <v>0</v>
      </c>
      <c r="C8" s="28">
        <v>0</v>
      </c>
      <c r="D8" s="34" t="s">
        <v>54</v>
      </c>
      <c r="E8" s="151" t="s">
        <v>24</v>
      </c>
      <c r="F8" s="152" t="s">
        <v>4</v>
      </c>
      <c r="G8" s="489" t="s">
        <v>77</v>
      </c>
      <c r="H8" s="490"/>
      <c r="I8" s="471" t="s">
        <v>75</v>
      </c>
      <c r="J8" s="472"/>
    </row>
    <row r="9" spans="1:10" ht="12" customHeight="1" x14ac:dyDescent="0.2">
      <c r="A9" s="50" t="s">
        <v>0</v>
      </c>
      <c r="B9" s="153">
        <v>20</v>
      </c>
      <c r="C9" s="154">
        <v>262</v>
      </c>
      <c r="D9" s="301">
        <f>SUM(B9:C9)</f>
        <v>282</v>
      </c>
      <c r="E9" s="155">
        <f>E$12*B9/D9</f>
        <v>7.0921985815602833</v>
      </c>
      <c r="F9" s="156">
        <f>E$12*SQRT(B9*C9/D9^3)</f>
        <v>1.5285934032061399</v>
      </c>
      <c r="G9" s="122">
        <f>(E9-1.96*F9)</f>
        <v>4.0961555112762493</v>
      </c>
      <c r="H9" s="157">
        <f>E9+1.96*F9</f>
        <v>10.088241651844317</v>
      </c>
      <c r="I9" s="158">
        <f>$E$12*B9/(B9+(C9+1)*FINV(0.025,2*C9+2,2*B9))</f>
        <v>4.385638408962504</v>
      </c>
      <c r="J9" s="159">
        <f>$E$12*(B9+1)/(B9+1+C9/FINV(0.025,2*B9+2,2*C9))</f>
        <v>10.741000091005544</v>
      </c>
    </row>
    <row r="10" spans="1:10" ht="12" customHeight="1" x14ac:dyDescent="0.2">
      <c r="A10" s="50" t="s">
        <v>206</v>
      </c>
      <c r="B10" s="160">
        <v>52</v>
      </c>
      <c r="C10" s="161">
        <v>1723</v>
      </c>
      <c r="D10" s="301">
        <f>SUM(B10:C10)</f>
        <v>1775</v>
      </c>
      <c r="E10" s="155">
        <f>E$12*B10/D10</f>
        <v>2.9295774647887325</v>
      </c>
      <c r="F10" s="156">
        <f>E$12*SQRT(B10*C10/D10^3)</f>
        <v>0.40026422425071706</v>
      </c>
      <c r="G10" s="122">
        <f>(E10-1.96*F10)</f>
        <v>2.1450595852573269</v>
      </c>
      <c r="H10" s="157">
        <f>E10+1.96*F10</f>
        <v>3.7140953443201381</v>
      </c>
      <c r="I10" s="119">
        <f>$E$12*B10/(B10+(C10+1)*FINV(0.025,2*C10+2,2*B10))</f>
        <v>2.1955205404702358</v>
      </c>
      <c r="J10" s="162">
        <f>$E$12*(B10+1)/(B10+1+C10/FINV(0.025,2*B10+2,2*C10))</f>
        <v>3.8241583818517171</v>
      </c>
    </row>
    <row r="11" spans="1:10" ht="12" customHeight="1" x14ac:dyDescent="0.2">
      <c r="A11" s="27" t="s">
        <v>54</v>
      </c>
      <c r="B11" s="302">
        <f>SUM(B9:B10)</f>
        <v>72</v>
      </c>
      <c r="C11" s="302">
        <f>SUM(C9:C10)</f>
        <v>1985</v>
      </c>
      <c r="D11" s="303">
        <f>SUM(D9:D10)</f>
        <v>2057</v>
      </c>
      <c r="E11" s="163">
        <f>E$12*B11/D11</f>
        <v>3.5002430724355857</v>
      </c>
      <c r="F11" s="164">
        <f>E$12*SQRT(B11*C11/D11^3)</f>
        <v>0.40522391325334028</v>
      </c>
      <c r="G11" s="165">
        <f>(E11-1.96*F11)</f>
        <v>2.7060042024590389</v>
      </c>
      <c r="H11" s="166">
        <f>E11+1.96*F11</f>
        <v>4.2944819424121325</v>
      </c>
      <c r="I11" s="167">
        <f>$E$12*B11/(B11+(C11+1)*FINV(0.025,2*C11+2,2*B11))</f>
        <v>2.7486001711425585</v>
      </c>
      <c r="J11" s="168">
        <f>$E$12*(B11+1)/(B11+1+C11/FINV(0.025,2*B11+2,2*C11))</f>
        <v>4.3878600951857125</v>
      </c>
    </row>
    <row r="12" spans="1:10" ht="12" customHeight="1" x14ac:dyDescent="0.2">
      <c r="A12" s="24"/>
      <c r="B12" s="24"/>
      <c r="C12" s="24"/>
      <c r="D12" s="44" t="s">
        <v>16</v>
      </c>
      <c r="E12" s="169">
        <v>100</v>
      </c>
      <c r="F12" s="24"/>
      <c r="G12" s="24"/>
      <c r="H12" s="24"/>
      <c r="I12" s="24"/>
      <c r="J12" s="24"/>
    </row>
    <row r="13" spans="1:10" ht="12" customHeight="1" x14ac:dyDescent="0.2">
      <c r="A13" s="24"/>
      <c r="B13" s="24"/>
      <c r="C13" s="24"/>
      <c r="D13" s="44"/>
      <c r="E13" s="24"/>
      <c r="F13" s="24"/>
      <c r="G13" s="24"/>
      <c r="H13" s="24"/>
      <c r="I13" s="24"/>
      <c r="J13" s="24"/>
    </row>
    <row r="14" spans="1:10" ht="12" customHeight="1" x14ac:dyDescent="0.2">
      <c r="A14" s="24"/>
      <c r="B14" s="492" t="s">
        <v>189</v>
      </c>
      <c r="C14" s="492"/>
      <c r="D14" s="366">
        <f>E12</f>
        <v>100</v>
      </c>
      <c r="E14" s="181"/>
      <c r="F14" s="24"/>
      <c r="G14" s="24"/>
      <c r="H14" s="24"/>
      <c r="I14" s="24"/>
      <c r="J14" s="24"/>
    </row>
    <row r="15" spans="1:10" ht="12" customHeight="1" x14ac:dyDescent="0.2">
      <c r="A15" s="24"/>
      <c r="B15" s="171" t="s">
        <v>17</v>
      </c>
      <c r="C15" s="172" t="s">
        <v>4</v>
      </c>
      <c r="D15" s="487" t="s">
        <v>77</v>
      </c>
      <c r="E15" s="487"/>
      <c r="F15" s="405" t="s">
        <v>262</v>
      </c>
      <c r="G15" s="405" t="s">
        <v>49</v>
      </c>
      <c r="H15" s="434" t="s">
        <v>29</v>
      </c>
      <c r="I15" s="24"/>
      <c r="J15" s="24"/>
    </row>
    <row r="16" spans="1:10" ht="12" customHeight="1" x14ac:dyDescent="0.2">
      <c r="A16" s="24"/>
      <c r="B16" s="176">
        <f>E9-E10</f>
        <v>4.1626211167715503</v>
      </c>
      <c r="C16" s="177">
        <f>SQRT(F9*F9+F10*F10)</f>
        <v>1.5801295015094037</v>
      </c>
      <c r="D16" s="123">
        <f>B16-1.96*C16</f>
        <v>1.0655672938131193</v>
      </c>
      <c r="E16" s="178">
        <f>B16+1.96*C16</f>
        <v>7.2596749397299813</v>
      </c>
      <c r="F16" s="407">
        <v>0</v>
      </c>
      <c r="G16" s="207">
        <f>(B16-F16)/C16</f>
        <v>2.6343544075313106</v>
      </c>
      <c r="H16" s="406">
        <f>2*NORMSDIST(-ABS(G16))</f>
        <v>8.4297447477562522E-3</v>
      </c>
      <c r="I16" s="24"/>
      <c r="J16" s="24"/>
    </row>
    <row r="17" spans="1:10" ht="12" customHeight="1" x14ac:dyDescent="0.2"/>
    <row r="18" spans="1:10" ht="12" customHeight="1" x14ac:dyDescent="0.2">
      <c r="A18" s="24"/>
      <c r="B18" s="491" t="s">
        <v>126</v>
      </c>
      <c r="C18" s="491"/>
      <c r="D18" s="24"/>
      <c r="E18" s="170"/>
      <c r="F18" s="24"/>
      <c r="G18" s="24"/>
      <c r="H18" s="24"/>
      <c r="I18" s="24"/>
      <c r="J18" s="24"/>
    </row>
    <row r="19" spans="1:10" ht="12" customHeight="1" x14ac:dyDescent="0.2">
      <c r="B19" s="171" t="s">
        <v>7</v>
      </c>
      <c r="C19" s="172" t="s">
        <v>4</v>
      </c>
      <c r="D19" s="487" t="s">
        <v>77</v>
      </c>
      <c r="E19" s="487"/>
      <c r="F19" s="405" t="s">
        <v>262</v>
      </c>
      <c r="G19" s="405" t="s">
        <v>49</v>
      </c>
      <c r="H19" s="434" t="s">
        <v>29</v>
      </c>
    </row>
    <row r="20" spans="1:10" ht="12" customHeight="1" x14ac:dyDescent="0.2">
      <c r="B20" s="176">
        <f>E9/E10</f>
        <v>2.4208947081287504</v>
      </c>
      <c r="C20" s="177"/>
      <c r="D20" s="123">
        <f>EXP(D21)</f>
        <v>1.4680973878139276</v>
      </c>
      <c r="E20" s="178">
        <f>EXP(E21)</f>
        <v>3.9920588623706474</v>
      </c>
      <c r="F20" s="407">
        <v>1</v>
      </c>
      <c r="G20" s="207"/>
      <c r="H20" s="406">
        <f>H21</f>
        <v>5.3094098592836459E-4</v>
      </c>
    </row>
    <row r="21" spans="1:10" ht="12" customHeight="1" x14ac:dyDescent="0.2">
      <c r="B21" s="180">
        <f>LN(B20)</f>
        <v>0.88413718594396606</v>
      </c>
      <c r="C21" s="180">
        <f>SQRT(1/B9+1/B10-1/D9-1/D10)</f>
        <v>0.25518873340784254</v>
      </c>
      <c r="D21" s="180">
        <f>B21-1.96*C21</f>
        <v>0.38396726846459472</v>
      </c>
      <c r="E21" s="180">
        <f>B21+1.96*C21</f>
        <v>1.3843071034233374</v>
      </c>
      <c r="F21" s="180">
        <f>LN(F20)</f>
        <v>0</v>
      </c>
      <c r="G21" s="180">
        <f>(B21-F21)/C21</f>
        <v>3.4646403629855334</v>
      </c>
      <c r="H21" s="180">
        <f>2*NORMSDIST(-ABS(G21))</f>
        <v>5.3094098592836459E-4</v>
      </c>
    </row>
    <row r="22" spans="1:10" ht="12" customHeight="1" x14ac:dyDescent="0.2">
      <c r="A22" s="24"/>
      <c r="B22" s="182"/>
      <c r="C22" s="182"/>
      <c r="D22" s="182"/>
      <c r="E22" s="182"/>
      <c r="F22" s="181"/>
      <c r="G22" s="181"/>
      <c r="H22" s="24"/>
      <c r="I22" s="24"/>
      <c r="J22" s="24"/>
    </row>
    <row r="23" spans="1:10" ht="12" customHeight="1" x14ac:dyDescent="0.2">
      <c r="A23" s="24"/>
      <c r="B23" s="493" t="s">
        <v>127</v>
      </c>
      <c r="C23" s="493"/>
      <c r="D23" s="182"/>
      <c r="E23" s="182"/>
      <c r="F23" s="181"/>
      <c r="G23" s="181"/>
      <c r="H23" s="24"/>
      <c r="I23" s="24"/>
      <c r="J23" s="24"/>
    </row>
    <row r="24" spans="1:10" ht="12" customHeight="1" x14ac:dyDescent="0.2">
      <c r="A24" s="24"/>
      <c r="B24" s="58" t="s">
        <v>3</v>
      </c>
      <c r="C24" s="59" t="s">
        <v>4</v>
      </c>
      <c r="D24" s="487" t="s">
        <v>77</v>
      </c>
      <c r="E24" s="487"/>
      <c r="F24" s="405" t="s">
        <v>262</v>
      </c>
      <c r="G24" s="405" t="s">
        <v>49</v>
      </c>
      <c r="H24" s="434" t="s">
        <v>29</v>
      </c>
      <c r="I24" s="24"/>
      <c r="J24" s="24"/>
    </row>
    <row r="25" spans="1:10" ht="12" customHeight="1" x14ac:dyDescent="0.2">
      <c r="A25" s="24"/>
      <c r="B25" s="165">
        <f>B9*C10/B10/C9</f>
        <v>2.5293599530240751</v>
      </c>
      <c r="C25" s="163"/>
      <c r="D25" s="165">
        <f>EXP(D26)</f>
        <v>1.4860634975321936</v>
      </c>
      <c r="E25" s="166">
        <f>EXP(E26)</f>
        <v>4.3051066004824969</v>
      </c>
      <c r="F25" s="407">
        <v>1</v>
      </c>
      <c r="G25" s="207"/>
      <c r="H25" s="406">
        <f>H26</f>
        <v>6.26487858965172E-4</v>
      </c>
      <c r="I25" s="24"/>
      <c r="J25" s="24"/>
    </row>
    <row r="26" spans="1:10" ht="12" customHeight="1" x14ac:dyDescent="0.2">
      <c r="A26" s="44"/>
      <c r="B26" s="180">
        <f>LN(B25)</f>
        <v>0.92796628773939638</v>
      </c>
      <c r="C26" s="180">
        <f>SQRT(1/B9+1/B10+1/C9+1/C10)</f>
        <v>0.27134469992375726</v>
      </c>
      <c r="D26" s="180">
        <f>B26-1.96*C26</f>
        <v>0.39613067588883211</v>
      </c>
      <c r="E26" s="180">
        <f>B26+1.96*C26</f>
        <v>1.4598018995899606</v>
      </c>
      <c r="F26" s="180">
        <f>LN(F25)</f>
        <v>0</v>
      </c>
      <c r="G26" s="180">
        <f>(B26-F26)/C26</f>
        <v>3.419879909208241</v>
      </c>
      <c r="H26" s="180">
        <f>2*NORMSDIST(-ABS(G26))</f>
        <v>6.26487858965172E-4</v>
      </c>
      <c r="I26" s="24"/>
      <c r="J26" s="24"/>
    </row>
    <row r="27" spans="1:10" ht="12" customHeight="1" x14ac:dyDescent="0.2">
      <c r="A27" s="44"/>
      <c r="B27" s="180"/>
      <c r="C27" s="180"/>
      <c r="D27" s="180"/>
      <c r="E27" s="180"/>
      <c r="H27" s="24"/>
      <c r="I27" s="24"/>
      <c r="J27" s="24"/>
    </row>
    <row r="28" spans="1:10" ht="12" customHeight="1" x14ac:dyDescent="0.2">
      <c r="A28" s="44"/>
      <c r="B28" s="184" t="s">
        <v>66</v>
      </c>
      <c r="C28" s="180"/>
      <c r="D28" s="180"/>
      <c r="E28" s="180"/>
      <c r="F28" s="44"/>
      <c r="G28" s="183"/>
      <c r="H28" s="24"/>
      <c r="I28" s="24"/>
      <c r="J28" s="24"/>
    </row>
    <row r="29" spans="1:10" ht="12" customHeight="1" x14ac:dyDescent="0.2">
      <c r="A29" s="24"/>
      <c r="B29" s="185">
        <f>$D9*B$11/$D$11</f>
        <v>9.8706854642683517</v>
      </c>
      <c r="C29" s="186">
        <f>$D9*C$11/$D$11</f>
        <v>272.12931453573162</v>
      </c>
      <c r="D29" s="24"/>
      <c r="E29" s="24"/>
      <c r="F29" s="24"/>
      <c r="G29" s="24"/>
      <c r="H29" s="24"/>
      <c r="I29" s="24"/>
      <c r="J29" s="24"/>
    </row>
    <row r="30" spans="1:10" ht="12" customHeight="1" x14ac:dyDescent="0.2">
      <c r="A30" s="24"/>
      <c r="B30" s="187">
        <f>$D10*B$11/$D$11</f>
        <v>62.129314535731645</v>
      </c>
      <c r="C30" s="188">
        <f>$D10*C$11/$D$11</f>
        <v>1712.8706854642683</v>
      </c>
      <c r="D30" s="24"/>
      <c r="E30" s="24"/>
      <c r="F30" s="24"/>
      <c r="G30" s="24"/>
      <c r="H30" s="24"/>
      <c r="I30" s="24"/>
      <c r="J30" s="24"/>
    </row>
    <row r="31" spans="1:10" ht="12" customHeight="1" x14ac:dyDescent="0.2">
      <c r="A31" s="24"/>
      <c r="B31" s="182"/>
      <c r="C31" s="182"/>
      <c r="D31" s="24"/>
      <c r="E31" s="24"/>
      <c r="F31" s="24"/>
      <c r="G31" s="24"/>
      <c r="H31" s="24"/>
      <c r="I31" s="24"/>
      <c r="J31" s="24"/>
    </row>
    <row r="32" spans="1:10" ht="12" customHeight="1" x14ac:dyDescent="0.2">
      <c r="A32" s="24"/>
      <c r="B32" s="189" t="s">
        <v>67</v>
      </c>
      <c r="C32" s="140"/>
      <c r="D32" s="24"/>
      <c r="E32" s="24"/>
      <c r="F32" s="24"/>
      <c r="G32" s="24"/>
      <c r="H32" s="24"/>
      <c r="I32" s="24"/>
      <c r="J32" s="24"/>
    </row>
    <row r="33" spans="1:10" ht="12" customHeight="1" x14ac:dyDescent="0.2">
      <c r="A33" s="24"/>
      <c r="B33" s="185">
        <f>((B9-B29)^2)/B29</f>
        <v>10.394720137239196</v>
      </c>
      <c r="C33" s="186">
        <f>((C9-C29)^2)/C29</f>
        <v>0.37703770774872469</v>
      </c>
      <c r="D33" s="44" t="s">
        <v>23</v>
      </c>
      <c r="E33" s="189">
        <f>SUM(B33:C34)</f>
        <v>12.483101908247972</v>
      </c>
      <c r="F33" s="24"/>
      <c r="G33" s="24"/>
      <c r="H33" s="24"/>
      <c r="I33" s="24"/>
      <c r="J33" s="24"/>
    </row>
    <row r="34" spans="1:10" ht="12" customHeight="1" x14ac:dyDescent="0.2">
      <c r="A34" s="24"/>
      <c r="B34" s="187">
        <f>((B10-B30)^2)/B30</f>
        <v>1.6514428612402541</v>
      </c>
      <c r="C34" s="188">
        <f>((C10-C30)^2)/C30</f>
        <v>5.9901202019798726E-2</v>
      </c>
      <c r="D34" s="44" t="s">
        <v>119</v>
      </c>
      <c r="E34" s="408">
        <f>CHIDIST(E33,1)</f>
        <v>4.1064974786696624E-4</v>
      </c>
      <c r="F34" s="24"/>
      <c r="G34" s="24"/>
      <c r="H34" s="24"/>
      <c r="I34" s="24"/>
      <c r="J34" s="24"/>
    </row>
    <row r="35" spans="1:10" ht="12" customHeight="1" x14ac:dyDescent="0.2">
      <c r="A35" s="24"/>
      <c r="B35" s="24"/>
      <c r="C35" s="24"/>
      <c r="D35" s="24"/>
      <c r="E35" s="24"/>
      <c r="F35" s="24"/>
      <c r="G35" s="24"/>
      <c r="H35" s="24"/>
      <c r="I35" s="24"/>
      <c r="J35" s="24"/>
    </row>
    <row r="41" spans="1:10" x14ac:dyDescent="0.2">
      <c r="A41" s="24"/>
      <c r="I41" s="24"/>
      <c r="J41" s="24"/>
    </row>
    <row r="42" spans="1:10" x14ac:dyDescent="0.2">
      <c r="A42" s="49"/>
      <c r="I42" s="24"/>
      <c r="J42" s="24"/>
    </row>
    <row r="43" spans="1:10" x14ac:dyDescent="0.2">
      <c r="A43" s="49"/>
      <c r="I43" s="24"/>
      <c r="J43" s="24"/>
    </row>
    <row r="44" spans="1:10" x14ac:dyDescent="0.2">
      <c r="A44" s="24"/>
      <c r="I44" s="24"/>
      <c r="J44" s="24"/>
    </row>
  </sheetData>
  <sheetProtection sheet="1" objects="1" scenarios="1" formatCells="0" formatColumns="0"/>
  <mergeCells count="15">
    <mergeCell ref="C1:H1"/>
    <mergeCell ref="I8:J8"/>
    <mergeCell ref="E7:J7"/>
    <mergeCell ref="J1:J2"/>
    <mergeCell ref="A7:A8"/>
    <mergeCell ref="A4:H4"/>
    <mergeCell ref="A5:H5"/>
    <mergeCell ref="D24:E24"/>
    <mergeCell ref="B7:C7"/>
    <mergeCell ref="G8:H8"/>
    <mergeCell ref="D19:E19"/>
    <mergeCell ref="B18:C18"/>
    <mergeCell ref="B14:C14"/>
    <mergeCell ref="B23:C23"/>
    <mergeCell ref="D15:E15"/>
  </mergeCells>
  <phoneticPr fontId="0" type="noConversion"/>
  <hyperlinks>
    <hyperlink ref="J1:J2" location="Start!A1" display="Start"/>
  </hyperlinks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L31"/>
  <sheetViews>
    <sheetView topLeftCell="A3" workbookViewId="0">
      <selection activeCell="N17" sqref="N17"/>
    </sheetView>
  </sheetViews>
  <sheetFormatPr defaultRowHeight="12.75" x14ac:dyDescent="0.2"/>
  <cols>
    <col min="1" max="1" width="6.28515625" customWidth="1"/>
    <col min="2" max="2" width="8.7109375" customWidth="1"/>
    <col min="3" max="3" width="11.140625" customWidth="1"/>
    <col min="4" max="9" width="8.7109375" customWidth="1"/>
    <col min="11" max="12" width="0" hidden="1" customWidth="1"/>
  </cols>
  <sheetData>
    <row r="1" spans="1:11" x14ac:dyDescent="0.2">
      <c r="A1" s="469" t="s">
        <v>162</v>
      </c>
      <c r="B1" s="469"/>
      <c r="C1" s="469" t="s">
        <v>156</v>
      </c>
      <c r="D1" s="469"/>
      <c r="E1" s="469"/>
      <c r="F1" s="469"/>
      <c r="G1" s="469"/>
      <c r="I1" s="503" t="s">
        <v>186</v>
      </c>
      <c r="K1" s="7"/>
    </row>
    <row r="2" spans="1:11" x14ac:dyDescent="0.2">
      <c r="G2" s="15"/>
      <c r="I2" s="504"/>
    </row>
    <row r="4" spans="1:11" x14ac:dyDescent="0.2">
      <c r="A4" s="24"/>
      <c r="B4" s="24"/>
      <c r="C4" s="24"/>
      <c r="D4" s="24"/>
      <c r="E4" s="24"/>
      <c r="F4" s="24"/>
      <c r="G4" s="24"/>
      <c r="H4" s="24"/>
      <c r="I4" s="24"/>
    </row>
    <row r="5" spans="1:11" x14ac:dyDescent="0.2">
      <c r="A5" s="497" t="s">
        <v>263</v>
      </c>
      <c r="B5" s="498"/>
      <c r="C5" s="498"/>
      <c r="D5" s="498"/>
      <c r="E5" s="498"/>
      <c r="F5" s="498"/>
      <c r="G5" s="499"/>
      <c r="H5" s="24"/>
      <c r="I5" s="24"/>
    </row>
    <row r="6" spans="1:11" x14ac:dyDescent="0.2">
      <c r="A6" s="500" t="s">
        <v>124</v>
      </c>
      <c r="B6" s="501"/>
      <c r="C6" s="501"/>
      <c r="D6" s="501"/>
      <c r="E6" s="501"/>
      <c r="F6" s="501"/>
      <c r="G6" s="502"/>
      <c r="H6" s="24"/>
      <c r="I6" s="24"/>
    </row>
    <row r="7" spans="1:11" x14ac:dyDescent="0.2">
      <c r="A7" s="46"/>
      <c r="B7" s="24"/>
      <c r="C7" s="24"/>
      <c r="D7" s="24"/>
      <c r="E7" s="24"/>
      <c r="F7" s="24"/>
      <c r="G7" s="24"/>
      <c r="H7" s="24"/>
      <c r="I7" s="24"/>
    </row>
    <row r="8" spans="1:11" x14ac:dyDescent="0.2">
      <c r="A8" s="27" t="s">
        <v>212</v>
      </c>
      <c r="B8" s="28" t="s">
        <v>10</v>
      </c>
      <c r="C8" s="28" t="s">
        <v>11</v>
      </c>
      <c r="D8" s="27" t="s">
        <v>12</v>
      </c>
      <c r="E8" s="172" t="s">
        <v>4</v>
      </c>
      <c r="F8" s="471" t="s">
        <v>77</v>
      </c>
      <c r="G8" s="472"/>
      <c r="H8" s="505" t="s">
        <v>75</v>
      </c>
      <c r="I8" s="506"/>
      <c r="K8" s="1"/>
    </row>
    <row r="9" spans="1:11" x14ac:dyDescent="0.2">
      <c r="A9" s="50" t="s">
        <v>0</v>
      </c>
      <c r="B9" s="112">
        <v>139</v>
      </c>
      <c r="C9" s="112">
        <v>99742</v>
      </c>
      <c r="D9" s="190">
        <f>B9/C9*D$12</f>
        <v>1.3935954763289287</v>
      </c>
      <c r="E9" s="191"/>
      <c r="F9" s="122">
        <f t="shared" ref="F9:G11" si="0">EXP(F13)</f>
        <v>1.1801505922208724</v>
      </c>
      <c r="G9" s="157">
        <f t="shared" si="0"/>
        <v>1.6456445172727381</v>
      </c>
      <c r="H9" s="158">
        <f>$D$12*0.5*CHIINV(0.975,2*B9)/C9</f>
        <v>1.1715585380237996</v>
      </c>
      <c r="I9" s="159">
        <f>$D$12*0.5*CHIINV(0.025,2*B9+2)/C9</f>
        <v>1.6454729131655439</v>
      </c>
    </row>
    <row r="10" spans="1:11" x14ac:dyDescent="0.2">
      <c r="A10" s="50" t="s">
        <v>211</v>
      </c>
      <c r="B10" s="112">
        <v>30</v>
      </c>
      <c r="C10" s="112">
        <v>36181</v>
      </c>
      <c r="D10" s="190">
        <f>B10/C10*D$12</f>
        <v>0.8291644785937371</v>
      </c>
      <c r="E10" s="191"/>
      <c r="F10" s="122">
        <f t="shared" si="0"/>
        <v>0.57973617956644719</v>
      </c>
      <c r="G10" s="157">
        <f t="shared" si="0"/>
        <v>1.1859079298376334</v>
      </c>
      <c r="H10" s="192">
        <f>$D$12*0.5*CHIINV(0.975,2*B10)/C10</f>
        <v>0.55943379180843311</v>
      </c>
      <c r="I10" s="193">
        <f>$D$12*0.5*CHIINV(0.025,2*B10+2)/C10</f>
        <v>1.1836838504963287</v>
      </c>
    </row>
    <row r="11" spans="1:11" x14ac:dyDescent="0.2">
      <c r="A11" s="27" t="s">
        <v>54</v>
      </c>
      <c r="B11" s="98">
        <f>SUM(B9:B10)</f>
        <v>169</v>
      </c>
      <c r="C11" s="194">
        <f>SUM(C9:C10)</f>
        <v>135923</v>
      </c>
      <c r="D11" s="195">
        <f>B11/C11*D$12</f>
        <v>1.243351014912855</v>
      </c>
      <c r="E11" s="89"/>
      <c r="F11" s="165">
        <f t="shared" si="0"/>
        <v>1.0693392509234327</v>
      </c>
      <c r="G11" s="166">
        <f t="shared" si="0"/>
        <v>1.4456794183415966</v>
      </c>
      <c r="H11" s="192">
        <f>$D$12*0.5*CHIINV(0.975,2*B11)/C11</f>
        <v>1.0629579206520741</v>
      </c>
      <c r="I11" s="193">
        <f>$D$12*0.5*CHIINV(0.025,2*B11+2)/C11</f>
        <v>1.445585971910381</v>
      </c>
    </row>
    <row r="12" spans="1:11" x14ac:dyDescent="0.2">
      <c r="A12" s="24"/>
      <c r="B12" s="24"/>
      <c r="C12" s="44" t="s">
        <v>13</v>
      </c>
      <c r="D12" s="196">
        <v>1000</v>
      </c>
      <c r="E12" s="46"/>
      <c r="F12" s="46"/>
      <c r="G12" s="24"/>
      <c r="H12" s="24"/>
      <c r="I12" s="24"/>
    </row>
    <row r="13" spans="1:11" x14ac:dyDescent="0.2">
      <c r="A13" s="24"/>
      <c r="B13" s="24"/>
      <c r="C13" s="44"/>
      <c r="D13" s="180">
        <f>LN(D9)</f>
        <v>0.33188708107820425</v>
      </c>
      <c r="E13" s="180">
        <f>SQRT(1/B9)</f>
        <v>8.4818892967997092E-2</v>
      </c>
      <c r="F13" s="180">
        <f>D13-1.96*E13</f>
        <v>0.16564205086092995</v>
      </c>
      <c r="G13" s="180">
        <f>D13+1.96*E13</f>
        <v>0.49813211129547852</v>
      </c>
      <c r="H13" s="24"/>
      <c r="I13" s="24"/>
    </row>
    <row r="14" spans="1:11" x14ac:dyDescent="0.2">
      <c r="A14" s="24"/>
      <c r="B14" s="24"/>
      <c r="C14" s="24"/>
      <c r="D14" s="180">
        <f>LN(D10)</f>
        <v>-0.18733673750290586</v>
      </c>
      <c r="E14" s="180">
        <f>SQRT(1/B10)</f>
        <v>0.18257418583505536</v>
      </c>
      <c r="F14" s="180">
        <f>D14-1.96*E14</f>
        <v>-0.54518214173961432</v>
      </c>
      <c r="G14" s="180">
        <f>D14+1.96*E14</f>
        <v>0.17050866673380266</v>
      </c>
      <c r="H14" s="24"/>
      <c r="I14" s="24"/>
    </row>
    <row r="15" spans="1:11" x14ac:dyDescent="0.2">
      <c r="A15" s="24"/>
      <c r="B15" s="24"/>
      <c r="C15" s="24"/>
      <c r="D15" s="180">
        <f>LN(D11)</f>
        <v>0.21781016599603034</v>
      </c>
      <c r="E15" s="180">
        <f>SQRT(1/B11)</f>
        <v>7.6923076923076927E-2</v>
      </c>
      <c r="F15" s="180">
        <f>D15-1.96*E15</f>
        <v>6.7040935226799575E-2</v>
      </c>
      <c r="G15" s="180">
        <f>D15+1.96*E15</f>
        <v>0.36857939676526108</v>
      </c>
      <c r="H15" s="24"/>
      <c r="I15" s="24"/>
    </row>
    <row r="16" spans="1:11" x14ac:dyDescent="0.2">
      <c r="A16" s="24"/>
      <c r="B16" s="24"/>
      <c r="C16" s="24"/>
      <c r="D16" s="180"/>
      <c r="E16" s="180"/>
      <c r="F16" s="180"/>
      <c r="G16" s="180"/>
      <c r="H16" s="24"/>
      <c r="I16" s="24"/>
    </row>
    <row r="17" spans="1:12" x14ac:dyDescent="0.2">
      <c r="A17" s="24"/>
      <c r="B17" s="491" t="s">
        <v>129</v>
      </c>
      <c r="C17" s="491"/>
      <c r="D17" s="368"/>
      <c r="E17" s="197"/>
      <c r="F17" s="197"/>
      <c r="G17" s="24"/>
      <c r="H17" s="24"/>
      <c r="I17" s="24"/>
    </row>
    <row r="18" spans="1:12" x14ac:dyDescent="0.2">
      <c r="A18" s="24"/>
      <c r="B18" s="27" t="s">
        <v>14</v>
      </c>
      <c r="C18" s="28" t="s">
        <v>4</v>
      </c>
      <c r="D18" s="471" t="s">
        <v>77</v>
      </c>
      <c r="E18" s="472"/>
      <c r="F18" s="405" t="s">
        <v>208</v>
      </c>
      <c r="G18" s="405" t="s">
        <v>49</v>
      </c>
      <c r="H18" s="434" t="s">
        <v>29</v>
      </c>
      <c r="I18" s="471" t="s">
        <v>75</v>
      </c>
      <c r="J18" s="472"/>
      <c r="K18" s="1" t="s">
        <v>209</v>
      </c>
      <c r="L18" s="1" t="s">
        <v>210</v>
      </c>
    </row>
    <row r="19" spans="1:12" x14ac:dyDescent="0.2">
      <c r="A19" s="24"/>
      <c r="B19" s="176">
        <f>D9/D10</f>
        <v>1.6807225976352322</v>
      </c>
      <c r="C19" s="177"/>
      <c r="D19" s="123">
        <f>EXP(D20)</f>
        <v>1.1327486978847325</v>
      </c>
      <c r="E19" s="178">
        <f>EXP(E20)</f>
        <v>2.493782120850581</v>
      </c>
      <c r="F19" s="407">
        <v>1</v>
      </c>
      <c r="G19" s="207"/>
      <c r="H19" s="406">
        <f>H20</f>
        <v>9.9039203446590861E-3</v>
      </c>
      <c r="I19" s="192">
        <f>K19*C10/((1-K19)*C9)</f>
        <v>1.1262854593141431</v>
      </c>
      <c r="J19" s="193">
        <f>L19*C10/((1-L19)*C9)</f>
        <v>2.5842624835933847</v>
      </c>
      <c r="K19" s="1">
        <f>B9/(B9+(B10+1)*FINV(0.025,2*B10+2,2*B9))</f>
        <v>0.7563880129740238</v>
      </c>
      <c r="L19" s="1">
        <f>(B9+1)/(B9+1+B10/FINV(0.025,2*B9+2,2*B10))</f>
        <v>0.87691046678942752</v>
      </c>
    </row>
    <row r="20" spans="1:12" x14ac:dyDescent="0.2">
      <c r="A20" s="44"/>
      <c r="B20" s="180">
        <f>LN(B19)</f>
        <v>0.51922381858111011</v>
      </c>
      <c r="C20" s="180">
        <f>SQRT(1/B9+1/B10)</f>
        <v>0.20131462425181604</v>
      </c>
      <c r="D20" s="180">
        <f>B20-1.96*C20</f>
        <v>0.1246471550475507</v>
      </c>
      <c r="E20" s="180">
        <f>B20+1.96*C20</f>
        <v>0.91380048211466947</v>
      </c>
      <c r="F20" s="180">
        <f>LN(F19)</f>
        <v>0</v>
      </c>
      <c r="G20" s="180">
        <f>(B20-F20)/C20</f>
        <v>2.5791659225493464</v>
      </c>
      <c r="H20" s="180">
        <f>2*NORMSDIST(-ABS(G20))</f>
        <v>9.9039203446590861E-3</v>
      </c>
      <c r="I20" s="24"/>
    </row>
    <row r="21" spans="1:12" x14ac:dyDescent="0.2">
      <c r="A21" s="44"/>
      <c r="B21" s="198"/>
      <c r="C21" s="198"/>
      <c r="D21" s="198"/>
      <c r="E21" s="198"/>
      <c r="F21" s="24"/>
      <c r="G21" s="44"/>
      <c r="H21" s="24"/>
      <c r="I21" s="24"/>
    </row>
    <row r="22" spans="1:12" x14ac:dyDescent="0.2">
      <c r="A22" s="44"/>
      <c r="B22" s="507" t="s">
        <v>190</v>
      </c>
      <c r="C22" s="507"/>
      <c r="D22" s="507"/>
      <c r="E22" s="367">
        <f>D12</f>
        <v>1000</v>
      </c>
      <c r="F22" s="45"/>
      <c r="G22" s="199"/>
      <c r="H22" s="24"/>
      <c r="I22" s="24"/>
    </row>
    <row r="23" spans="1:12" x14ac:dyDescent="0.2">
      <c r="A23" s="44"/>
      <c r="B23" s="27" t="s">
        <v>19</v>
      </c>
      <c r="C23" s="28" t="s">
        <v>4</v>
      </c>
      <c r="D23" s="471" t="s">
        <v>77</v>
      </c>
      <c r="E23" s="472"/>
      <c r="F23" s="405" t="s">
        <v>208</v>
      </c>
      <c r="G23" s="405" t="s">
        <v>49</v>
      </c>
      <c r="H23" s="434" t="s">
        <v>29</v>
      </c>
      <c r="I23" s="24"/>
    </row>
    <row r="24" spans="1:12" x14ac:dyDescent="0.2">
      <c r="A24" s="44"/>
      <c r="B24" s="176">
        <f>D9-D10</f>
        <v>0.56443099773519156</v>
      </c>
      <c r="C24" s="294">
        <f>D12*SQRT(B9/C9^2+B10/C10^2)</f>
        <v>0.19206542361533221</v>
      </c>
      <c r="D24" s="123">
        <f>B24-1.96*C24</f>
        <v>0.18798276744914044</v>
      </c>
      <c r="E24" s="178">
        <f>B24+1.96*C24</f>
        <v>0.94087922802124269</v>
      </c>
      <c r="F24" s="407">
        <v>0</v>
      </c>
      <c r="G24" s="207">
        <f>(B24-F24)/C24</f>
        <v>2.9387434089419004</v>
      </c>
      <c r="H24" s="406">
        <f>2*NORMSDIST(-ABS(G24))</f>
        <v>3.2954577591247491E-3</v>
      </c>
      <c r="I24" s="24"/>
    </row>
    <row r="25" spans="1:12" x14ac:dyDescent="0.2">
      <c r="A25" s="44"/>
      <c r="B25" s="198"/>
      <c r="C25" s="198"/>
      <c r="D25" s="198"/>
      <c r="E25" s="198"/>
      <c r="F25" s="197"/>
      <c r="G25" s="24"/>
      <c r="H25" s="24"/>
      <c r="I25" s="24"/>
    </row>
    <row r="26" spans="1:12" x14ac:dyDescent="0.2">
      <c r="A26" s="24"/>
      <c r="B26" s="27" t="s">
        <v>212</v>
      </c>
      <c r="C26" s="26" t="s">
        <v>68</v>
      </c>
      <c r="D26" s="27" t="s">
        <v>15</v>
      </c>
      <c r="E26" s="24"/>
      <c r="F26" s="24"/>
      <c r="G26" s="24"/>
      <c r="H26" s="24"/>
      <c r="I26" s="24"/>
    </row>
    <row r="27" spans="1:12" x14ac:dyDescent="0.2">
      <c r="A27" s="24"/>
      <c r="B27" s="50" t="s">
        <v>0</v>
      </c>
      <c r="C27" s="122">
        <f>B$11*C9/C$11</f>
        <v>124.014316929438</v>
      </c>
      <c r="D27" s="155">
        <f>((B9-C27)^2)/C27</f>
        <v>1.8108449302599918</v>
      </c>
      <c r="E27" s="24"/>
      <c r="F27" s="24"/>
      <c r="G27" s="24"/>
      <c r="H27" s="24"/>
      <c r="I27" s="24"/>
    </row>
    <row r="28" spans="1:12" x14ac:dyDescent="0.2">
      <c r="A28" s="24"/>
      <c r="B28" s="50" t="s">
        <v>211</v>
      </c>
      <c r="C28" s="122">
        <f>B$11*C10/C$11</f>
        <v>44.985683070562011</v>
      </c>
      <c r="D28" s="155">
        <f>((B10-C28)^2)/C28</f>
        <v>4.9920481753957118</v>
      </c>
      <c r="E28" s="24"/>
      <c r="F28" s="24"/>
      <c r="G28" s="24"/>
      <c r="H28" s="24"/>
      <c r="I28" s="24"/>
    </row>
    <row r="29" spans="1:12" x14ac:dyDescent="0.2">
      <c r="A29" s="24"/>
      <c r="B29" s="27" t="s">
        <v>54</v>
      </c>
      <c r="C29" s="165">
        <f>SUM(C27:C28)</f>
        <v>169</v>
      </c>
      <c r="D29" s="163">
        <f>SUM(D27:D28)</f>
        <v>6.8028931056557038</v>
      </c>
      <c r="E29" s="44" t="s">
        <v>119</v>
      </c>
      <c r="F29" s="408">
        <f>CHIDIST(D29,1)</f>
        <v>9.1010282021922965E-3</v>
      </c>
      <c r="G29" s="24"/>
      <c r="H29" s="24"/>
      <c r="I29" s="24"/>
    </row>
    <row r="30" spans="1:12" x14ac:dyDescent="0.2">
      <c r="A30" s="24"/>
      <c r="D30" s="24"/>
      <c r="E30" s="24"/>
      <c r="F30" s="24"/>
      <c r="G30" s="24"/>
      <c r="H30" s="24"/>
      <c r="I30" s="24"/>
    </row>
    <row r="31" spans="1:12" x14ac:dyDescent="0.2">
      <c r="A31" s="24"/>
      <c r="B31" s="24"/>
      <c r="C31" s="140"/>
      <c r="D31" s="24"/>
      <c r="E31" s="24"/>
      <c r="F31" s="24"/>
      <c r="G31" s="24"/>
      <c r="H31" s="24"/>
      <c r="I31" s="24"/>
    </row>
  </sheetData>
  <sheetProtection sheet="1" objects="1" scenarios="1" formatCells="0" formatColumns="0"/>
  <mergeCells count="12">
    <mergeCell ref="A1:B1"/>
    <mergeCell ref="C1:G1"/>
    <mergeCell ref="I1:I2"/>
    <mergeCell ref="D23:E23"/>
    <mergeCell ref="A5:G5"/>
    <mergeCell ref="A6:G6"/>
    <mergeCell ref="H8:I8"/>
    <mergeCell ref="B17:C17"/>
    <mergeCell ref="B22:D22"/>
    <mergeCell ref="I18:J18"/>
    <mergeCell ref="F8:G8"/>
    <mergeCell ref="D18:E18"/>
  </mergeCells>
  <phoneticPr fontId="0" type="noConversion"/>
  <hyperlinks>
    <hyperlink ref="I1:I2" location="Start!A1" display="Start"/>
  </hyperlinks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J49"/>
  <sheetViews>
    <sheetView topLeftCell="A23" workbookViewId="0">
      <selection activeCell="C13" sqref="C13"/>
    </sheetView>
  </sheetViews>
  <sheetFormatPr defaultRowHeight="12.75" x14ac:dyDescent="0.2"/>
  <cols>
    <col min="1" max="7" width="9.7109375" customWidth="1"/>
    <col min="8" max="9" width="0" hidden="1" customWidth="1"/>
  </cols>
  <sheetData>
    <row r="1" spans="1:10" x14ac:dyDescent="0.2">
      <c r="A1" s="7" t="s">
        <v>153</v>
      </c>
      <c r="B1" s="474" t="s">
        <v>154</v>
      </c>
      <c r="C1" s="474"/>
      <c r="D1" s="474"/>
      <c r="E1" s="474"/>
      <c r="J1" s="475" t="s">
        <v>186</v>
      </c>
    </row>
    <row r="2" spans="1:10" x14ac:dyDescent="0.2">
      <c r="A2" s="7"/>
      <c r="B2" s="317"/>
      <c r="C2" s="317"/>
      <c r="D2" s="317"/>
      <c r="E2" s="317"/>
      <c r="J2" s="476"/>
    </row>
    <row r="3" spans="1:10" x14ac:dyDescent="0.2">
      <c r="A3" s="7"/>
      <c r="B3" s="317"/>
      <c r="C3" s="317"/>
      <c r="D3" s="317"/>
      <c r="E3" s="317"/>
    </row>
    <row r="4" spans="1:10" ht="12" customHeight="1" x14ac:dyDescent="0.2">
      <c r="A4" s="24"/>
      <c r="B4" s="24"/>
      <c r="C4" s="24"/>
      <c r="D4" s="24"/>
      <c r="E4" s="24"/>
      <c r="F4" s="24"/>
      <c r="G4" s="24"/>
    </row>
    <row r="5" spans="1:10" ht="12" customHeight="1" x14ac:dyDescent="0.2">
      <c r="A5" s="497" t="s">
        <v>266</v>
      </c>
      <c r="B5" s="498"/>
      <c r="C5" s="498"/>
      <c r="D5" s="498"/>
      <c r="E5" s="498"/>
      <c r="F5" s="498"/>
      <c r="G5" s="499"/>
    </row>
    <row r="6" spans="1:10" ht="12" customHeight="1" x14ac:dyDescent="0.2">
      <c r="A6" s="200" t="s">
        <v>271</v>
      </c>
      <c r="B6" s="201"/>
      <c r="C6" s="201"/>
      <c r="D6" s="201"/>
      <c r="E6" s="201"/>
      <c r="F6" s="201"/>
      <c r="G6" s="202"/>
    </row>
    <row r="7" spans="1:10" ht="12" customHeight="1" x14ac:dyDescent="0.2">
      <c r="A7" s="24"/>
      <c r="B7" s="24"/>
      <c r="C7" s="24"/>
      <c r="D7" s="24"/>
      <c r="E7" s="24"/>
      <c r="F7" s="24"/>
      <c r="G7" s="24"/>
    </row>
    <row r="8" spans="1:10" ht="12" customHeight="1" x14ac:dyDescent="0.2">
      <c r="A8" s="25" t="s">
        <v>102</v>
      </c>
      <c r="B8" s="24"/>
      <c r="C8" s="24"/>
      <c r="D8" s="24"/>
      <c r="E8" s="24"/>
      <c r="F8" s="24"/>
      <c r="G8" s="24"/>
    </row>
    <row r="9" spans="1:10" ht="12" customHeight="1" x14ac:dyDescent="0.2">
      <c r="A9" s="58" t="s">
        <v>40</v>
      </c>
      <c r="B9" s="28" t="s">
        <v>37</v>
      </c>
      <c r="C9" s="60" t="s">
        <v>38</v>
      </c>
      <c r="D9" s="60" t="s">
        <v>39</v>
      </c>
      <c r="E9" s="60" t="s">
        <v>4</v>
      </c>
      <c r="F9" s="488" t="s">
        <v>18</v>
      </c>
      <c r="G9" s="506"/>
    </row>
    <row r="10" spans="1:10" ht="12" customHeight="1" x14ac:dyDescent="0.2">
      <c r="A10" s="58" t="s">
        <v>0</v>
      </c>
      <c r="B10" s="372">
        <v>52</v>
      </c>
      <c r="C10" s="421">
        <v>5.6230000000000002</v>
      </c>
      <c r="D10" s="421">
        <v>0.60899999999999999</v>
      </c>
      <c r="E10" s="425">
        <f>D10/SQRT(B10)</f>
        <v>8.4453104875291132E-2</v>
      </c>
      <c r="F10" s="425">
        <f>C10-1.96*E10</f>
        <v>5.4574719144444295</v>
      </c>
      <c r="G10" s="426">
        <f>C10+1.96*E10</f>
        <v>5.788528085555571</v>
      </c>
    </row>
    <row r="11" spans="1:10" ht="12" customHeight="1" x14ac:dyDescent="0.2">
      <c r="A11" s="34">
        <v>0</v>
      </c>
      <c r="B11" s="373">
        <v>44</v>
      </c>
      <c r="C11" s="422">
        <v>3.8359999999999999</v>
      </c>
      <c r="D11" s="422">
        <v>0.54800000000000004</v>
      </c>
      <c r="E11" s="423">
        <f>D11/SQRT(B11)</f>
        <v>8.2614108414307247E-2</v>
      </c>
      <c r="F11" s="423">
        <f>C11-1.96*E11</f>
        <v>3.6740763475079579</v>
      </c>
      <c r="G11" s="427">
        <f>C11+1.96*E11</f>
        <v>3.9979236524920418</v>
      </c>
    </row>
    <row r="12" spans="1:10" ht="12" customHeight="1" x14ac:dyDescent="0.2">
      <c r="A12" s="38" t="s">
        <v>54</v>
      </c>
      <c r="B12" s="374">
        <f>B10+B11</f>
        <v>96</v>
      </c>
      <c r="C12" s="182">
        <f>(B10*C10+B11*C11)/B12</f>
        <v>4.8039583333333331</v>
      </c>
      <c r="D12" s="86"/>
      <c r="E12" s="40"/>
      <c r="F12" s="429"/>
      <c r="G12" s="430"/>
    </row>
    <row r="13" spans="1:10" ht="12" customHeight="1" x14ac:dyDescent="0.2">
      <c r="A13" s="34" t="s">
        <v>107</v>
      </c>
      <c r="B13" s="371"/>
      <c r="C13" s="177">
        <f>C10-C11</f>
        <v>1.7870000000000004</v>
      </c>
      <c r="D13" s="370"/>
      <c r="E13" s="36">
        <f>SQRT(E10^2 + E11^2)</f>
        <v>0.11814151612438294</v>
      </c>
      <c r="F13" s="424">
        <f>C13-1.96*E13</f>
        <v>1.5554426283962097</v>
      </c>
      <c r="G13" s="428">
        <f>C13+1.96*E13</f>
        <v>2.0185573716037908</v>
      </c>
    </row>
    <row r="14" spans="1:10" ht="12" customHeight="1" x14ac:dyDescent="0.2">
      <c r="A14" s="49"/>
      <c r="B14" s="83"/>
      <c r="C14" s="32"/>
      <c r="D14" s="49"/>
      <c r="E14" s="32"/>
      <c r="F14" s="32"/>
      <c r="G14" s="32"/>
    </row>
    <row r="15" spans="1:10" ht="12" customHeight="1" x14ac:dyDescent="0.2">
      <c r="A15" s="44"/>
      <c r="B15" s="26" t="s">
        <v>49</v>
      </c>
      <c r="C15" s="29" t="s">
        <v>29</v>
      </c>
      <c r="D15" s="45"/>
      <c r="E15" s="24"/>
      <c r="F15" s="46"/>
      <c r="G15" s="46"/>
    </row>
    <row r="16" spans="1:10" ht="12" customHeight="1" x14ac:dyDescent="0.2">
      <c r="A16" s="44"/>
      <c r="B16" s="431">
        <f>C13/E13</f>
        <v>15.125927435352981</v>
      </c>
      <c r="C16" s="97">
        <f>2*(1-NORMSDIST(ABS(B16)))</f>
        <v>0</v>
      </c>
      <c r="D16" s="45"/>
      <c r="E16" s="47"/>
      <c r="F16" s="46"/>
      <c r="G16" s="46"/>
    </row>
    <row r="17" spans="1:9" ht="12" customHeight="1" x14ac:dyDescent="0.2">
      <c r="A17" s="94"/>
      <c r="B17" s="94"/>
      <c r="C17" s="32"/>
      <c r="D17" s="95"/>
      <c r="E17" s="48"/>
      <c r="F17" s="49"/>
      <c r="G17" s="49"/>
    </row>
    <row r="18" spans="1:9" ht="12" customHeight="1" x14ac:dyDescent="0.2">
      <c r="A18" s="94"/>
      <c r="B18" s="96"/>
      <c r="C18" s="40"/>
      <c r="D18" s="49"/>
      <c r="E18" s="49"/>
      <c r="F18" s="49"/>
      <c r="G18" s="49"/>
    </row>
    <row r="19" spans="1:9" ht="12" customHeight="1" x14ac:dyDescent="0.2">
      <c r="A19" s="509" t="s">
        <v>108</v>
      </c>
      <c r="B19" s="509"/>
      <c r="C19" s="509"/>
      <c r="D19" s="24"/>
      <c r="E19" s="24"/>
      <c r="F19" s="24"/>
      <c r="G19" s="24"/>
    </row>
    <row r="20" spans="1:9" ht="12" customHeight="1" x14ac:dyDescent="0.2">
      <c r="A20" s="27" t="s">
        <v>40</v>
      </c>
      <c r="B20" s="28" t="s">
        <v>39</v>
      </c>
      <c r="C20" s="29" t="s">
        <v>52</v>
      </c>
      <c r="D20" s="49"/>
      <c r="E20" s="40"/>
      <c r="F20" s="24"/>
      <c r="G20" s="24"/>
    </row>
    <row r="21" spans="1:9" ht="12" customHeight="1" x14ac:dyDescent="0.2">
      <c r="A21" s="50" t="s">
        <v>0</v>
      </c>
      <c r="B21" s="32">
        <f>D10</f>
        <v>0.60899999999999999</v>
      </c>
      <c r="C21" s="51">
        <f>B10-1</f>
        <v>51</v>
      </c>
      <c r="D21" s="49"/>
      <c r="E21" s="40"/>
      <c r="F21" s="24"/>
      <c r="G21" s="24"/>
    </row>
    <row r="22" spans="1:9" ht="12" customHeight="1" x14ac:dyDescent="0.2">
      <c r="A22" s="43">
        <v>0</v>
      </c>
      <c r="B22" s="36">
        <f>D11</f>
        <v>0.54800000000000004</v>
      </c>
      <c r="C22" s="51">
        <f>B11-1</f>
        <v>43</v>
      </c>
      <c r="D22" s="49"/>
      <c r="E22" s="40"/>
      <c r="F22" s="24"/>
      <c r="G22" s="46"/>
    </row>
    <row r="23" spans="1:9" ht="12" customHeight="1" x14ac:dyDescent="0.2">
      <c r="A23" s="52" t="s">
        <v>103</v>
      </c>
      <c r="B23" s="32">
        <f>(B21^2)/(B22^2)</f>
        <v>1.2350185145719002</v>
      </c>
      <c r="C23" s="53" t="s">
        <v>105</v>
      </c>
      <c r="D23" s="54">
        <f>MIN(H23, 1-H23)</f>
        <v>0.24009772373196753</v>
      </c>
      <c r="F23" s="27" t="s">
        <v>29</v>
      </c>
      <c r="G23" s="24"/>
      <c r="H23" s="17">
        <f>FDIST(B23,C21,C22)</f>
        <v>0.24009772373196753</v>
      </c>
      <c r="I23" s="17"/>
    </row>
    <row r="24" spans="1:9" ht="12" customHeight="1" x14ac:dyDescent="0.2">
      <c r="A24" s="55" t="s">
        <v>104</v>
      </c>
      <c r="B24" s="36">
        <f>1/B23</f>
        <v>0.80970446046036348</v>
      </c>
      <c r="C24" s="55" t="s">
        <v>106</v>
      </c>
      <c r="D24" s="56">
        <f>MIN(H24, 1-H24)</f>
        <v>0.23363680443378421</v>
      </c>
      <c r="F24" s="82">
        <f>SUM(D23:D24)</f>
        <v>0.47373452816575173</v>
      </c>
      <c r="G24" s="24"/>
      <c r="H24" s="17">
        <f>FDIST(B24,C21,C22)</f>
        <v>0.76636319556621579</v>
      </c>
      <c r="I24" s="17"/>
    </row>
    <row r="25" spans="1:9" ht="12" customHeight="1" x14ac:dyDescent="0.2">
      <c r="A25" s="24"/>
      <c r="B25" s="24"/>
      <c r="C25" s="45"/>
      <c r="E25" s="24"/>
      <c r="F25" s="24"/>
      <c r="G25" s="24"/>
      <c r="H25" s="17"/>
      <c r="I25" s="17"/>
    </row>
    <row r="26" spans="1:9" ht="12" customHeight="1" x14ac:dyDescent="0.2">
      <c r="A26" s="24"/>
      <c r="B26" s="24"/>
      <c r="C26" s="45"/>
      <c r="D26" s="57"/>
      <c r="E26" s="24"/>
      <c r="F26" s="24"/>
      <c r="G26" s="24"/>
      <c r="H26" s="17"/>
      <c r="I26" s="17"/>
    </row>
    <row r="27" spans="1:9" ht="12" customHeight="1" x14ac:dyDescent="0.2">
      <c r="A27" s="510" t="s">
        <v>214</v>
      </c>
      <c r="B27" s="508"/>
      <c r="C27" s="510" t="s">
        <v>213</v>
      </c>
      <c r="D27" s="508"/>
      <c r="E27" s="24"/>
      <c r="F27" s="24"/>
      <c r="G27" s="24"/>
      <c r="H27" s="17"/>
      <c r="I27" s="17"/>
    </row>
    <row r="28" spans="1:9" ht="12" customHeight="1" x14ac:dyDescent="0.2">
      <c r="A28" s="58" t="s">
        <v>40</v>
      </c>
      <c r="B28" s="59" t="s">
        <v>37</v>
      </c>
      <c r="C28" s="60" t="s">
        <v>38</v>
      </c>
      <c r="D28" s="59" t="s">
        <v>39</v>
      </c>
      <c r="E28" s="29" t="s">
        <v>4</v>
      </c>
      <c r="F28" s="473" t="s">
        <v>18</v>
      </c>
      <c r="G28" s="472"/>
      <c r="H28" s="17"/>
      <c r="I28" s="17"/>
    </row>
    <row r="29" spans="1:9" ht="12" customHeight="1" x14ac:dyDescent="0.2">
      <c r="A29" s="58" t="s">
        <v>0</v>
      </c>
      <c r="B29" s="61">
        <f t="shared" ref="B29:D30" si="0">B10</f>
        <v>52</v>
      </c>
      <c r="C29" s="62">
        <f t="shared" si="0"/>
        <v>5.6230000000000002</v>
      </c>
      <c r="D29" s="63">
        <f t="shared" si="0"/>
        <v>0.60899999999999999</v>
      </c>
      <c r="E29" s="33">
        <f>D29/SQRT(B29)</f>
        <v>8.4453104875291132E-2</v>
      </c>
      <c r="F29" s="64">
        <f>C29-I29*E29</f>
        <v>5.4534533172995845</v>
      </c>
      <c r="G29" s="65">
        <f>C29+I29*E29</f>
        <v>5.7925466827004159</v>
      </c>
      <c r="H29" s="17"/>
      <c r="I29" s="17">
        <f>TINV(0.05,B29-1)</f>
        <v>2.007583770315835</v>
      </c>
    </row>
    <row r="30" spans="1:9" ht="12" customHeight="1" x14ac:dyDescent="0.2">
      <c r="A30" s="34">
        <v>0</v>
      </c>
      <c r="B30" s="66">
        <f t="shared" si="0"/>
        <v>44</v>
      </c>
      <c r="C30" s="67">
        <f t="shared" si="0"/>
        <v>3.8359999999999999</v>
      </c>
      <c r="D30" s="68">
        <f t="shared" si="0"/>
        <v>0.54800000000000004</v>
      </c>
      <c r="E30" s="37">
        <f>D30/SQRT(B30)</f>
        <v>8.2614108414307247E-2</v>
      </c>
      <c r="F30" s="36">
        <f>C30-I30*E30</f>
        <v>3.6693927720147048</v>
      </c>
      <c r="G30" s="37">
        <f>C30+I30*E30</f>
        <v>4.0026072279852949</v>
      </c>
      <c r="H30" s="17"/>
      <c r="I30" s="17">
        <f>TINV(0.05,B30-1)</f>
        <v>2.0166921992278248</v>
      </c>
    </row>
    <row r="31" spans="1:9" ht="12" customHeight="1" x14ac:dyDescent="0.2">
      <c r="A31" s="38" t="s">
        <v>54</v>
      </c>
      <c r="B31" s="39">
        <f>B29+B30</f>
        <v>96</v>
      </c>
      <c r="C31" s="84">
        <f>(B29*C29+B30*C30)/B31</f>
        <v>4.8039583333333331</v>
      </c>
      <c r="D31" s="85">
        <f>SQRT(((B10-1)*D10^2+(B11-1)*D11^2)/(B12-2))</f>
        <v>0.58188983200924271</v>
      </c>
      <c r="E31" s="93"/>
      <c r="F31" s="69"/>
      <c r="G31" s="41"/>
      <c r="H31" s="17"/>
      <c r="I31" s="17">
        <f>TINV(0.05,B31-2)</f>
        <v>1.9855234418666059</v>
      </c>
    </row>
    <row r="32" spans="1:9" ht="12" customHeight="1" x14ac:dyDescent="0.2">
      <c r="A32" s="26" t="s">
        <v>107</v>
      </c>
      <c r="B32" s="70"/>
      <c r="C32" s="92">
        <f>C29-C30</f>
        <v>1.7870000000000004</v>
      </c>
      <c r="D32" s="43" t="s">
        <v>109</v>
      </c>
      <c r="E32" s="91">
        <f>D31*SQRT(1/B29+1/B30)</f>
        <v>0.11919234791386592</v>
      </c>
      <c r="F32" s="89">
        <f>C32-I31*E32</f>
        <v>1.5503407991258993</v>
      </c>
      <c r="G32" s="91">
        <f>C32+I31*E32</f>
        <v>2.0236592008741012</v>
      </c>
      <c r="H32" s="17"/>
      <c r="I32" s="17"/>
    </row>
    <row r="33" spans="1:9" ht="12" customHeight="1" x14ac:dyDescent="0.2">
      <c r="A33" s="49"/>
      <c r="B33" s="83"/>
      <c r="C33" s="32"/>
      <c r="D33" s="49"/>
      <c r="E33" s="32"/>
      <c r="F33" s="32"/>
      <c r="G33" s="32"/>
      <c r="H33" s="17"/>
      <c r="I33" s="17"/>
    </row>
    <row r="34" spans="1:9" ht="12" customHeight="1" x14ac:dyDescent="0.2">
      <c r="A34" s="44"/>
      <c r="B34" s="26" t="s">
        <v>71</v>
      </c>
      <c r="C34" s="28" t="s">
        <v>52</v>
      </c>
      <c r="D34" s="29" t="s">
        <v>29</v>
      </c>
      <c r="E34" s="24"/>
      <c r="F34" s="24"/>
      <c r="G34" s="24"/>
      <c r="H34" s="17"/>
      <c r="I34" s="17"/>
    </row>
    <row r="35" spans="1:9" ht="12" customHeight="1" x14ac:dyDescent="0.2">
      <c r="A35" s="24"/>
      <c r="B35" s="92">
        <f>C32/E32</f>
        <v>14.992573191790566</v>
      </c>
      <c r="C35" s="98">
        <f>B31-2</f>
        <v>94</v>
      </c>
      <c r="D35" s="97">
        <f>TDIST(ABS(B35), C35, 2)</f>
        <v>1.1516525440497753E-26</v>
      </c>
      <c r="E35" s="24"/>
      <c r="F35" s="24"/>
      <c r="G35" s="24"/>
      <c r="H35" s="17"/>
      <c r="I35" s="17"/>
    </row>
    <row r="36" spans="1:9" ht="12" customHeight="1" x14ac:dyDescent="0.2">
      <c r="A36" s="24"/>
      <c r="B36" s="24"/>
      <c r="C36" s="45"/>
      <c r="D36" s="57"/>
      <c r="E36" s="24"/>
      <c r="F36" s="24"/>
      <c r="G36" s="24"/>
      <c r="H36" s="17"/>
      <c r="I36" s="17"/>
    </row>
    <row r="37" spans="1:9" ht="12" customHeight="1" x14ac:dyDescent="0.2">
      <c r="A37" s="24"/>
      <c r="B37" s="24"/>
      <c r="C37" s="24"/>
      <c r="D37" s="24"/>
      <c r="E37" s="24"/>
      <c r="F37" s="24"/>
      <c r="G37" s="24"/>
    </row>
    <row r="38" spans="1:9" ht="12" customHeight="1" x14ac:dyDescent="0.2">
      <c r="A38" s="508" t="s">
        <v>214</v>
      </c>
      <c r="B38" s="508"/>
      <c r="C38" s="409" t="s">
        <v>215</v>
      </c>
      <c r="D38" s="40"/>
      <c r="E38" s="40"/>
      <c r="F38" s="24"/>
      <c r="G38" s="24"/>
    </row>
    <row r="39" spans="1:9" ht="12" customHeight="1" x14ac:dyDescent="0.2">
      <c r="A39" s="58" t="s">
        <v>40</v>
      </c>
      <c r="B39" s="59" t="s">
        <v>37</v>
      </c>
      <c r="C39" s="60" t="s">
        <v>38</v>
      </c>
      <c r="D39" s="59" t="s">
        <v>39</v>
      </c>
      <c r="E39" s="59" t="s">
        <v>4</v>
      </c>
      <c r="F39" s="488" t="s">
        <v>18</v>
      </c>
      <c r="G39" s="506"/>
    </row>
    <row r="40" spans="1:9" ht="12" customHeight="1" x14ac:dyDescent="0.2">
      <c r="A40" s="71" t="s">
        <v>0</v>
      </c>
      <c r="B40" s="72">
        <f t="shared" ref="B40:G40" si="1">B29</f>
        <v>52</v>
      </c>
      <c r="C40" s="73">
        <f t="shared" si="1"/>
        <v>5.6230000000000002</v>
      </c>
      <c r="D40" s="74">
        <f t="shared" si="1"/>
        <v>0.60899999999999999</v>
      </c>
      <c r="E40" s="74">
        <f t="shared" si="1"/>
        <v>8.4453104875291132E-2</v>
      </c>
      <c r="F40" s="73">
        <f t="shared" si="1"/>
        <v>5.4534533172995845</v>
      </c>
      <c r="G40" s="75">
        <f t="shared" si="1"/>
        <v>5.7925466827004159</v>
      </c>
    </row>
    <row r="41" spans="1:9" ht="12" customHeight="1" x14ac:dyDescent="0.2">
      <c r="A41" s="34">
        <v>0</v>
      </c>
      <c r="B41" s="42">
        <f t="shared" ref="B41:G41" si="2">B30</f>
        <v>44</v>
      </c>
      <c r="C41" s="76">
        <f t="shared" si="2"/>
        <v>3.8359999999999999</v>
      </c>
      <c r="D41" s="77">
        <f t="shared" si="2"/>
        <v>0.54800000000000004</v>
      </c>
      <c r="E41" s="77">
        <f t="shared" si="2"/>
        <v>8.2614108414307247E-2</v>
      </c>
      <c r="F41" s="76">
        <f t="shared" si="2"/>
        <v>3.6693927720147048</v>
      </c>
      <c r="G41" s="78">
        <f t="shared" si="2"/>
        <v>4.0026072279852949</v>
      </c>
    </row>
    <row r="42" spans="1:9" ht="12" customHeight="1" x14ac:dyDescent="0.2">
      <c r="A42" s="34" t="s">
        <v>107</v>
      </c>
      <c r="B42" s="88"/>
      <c r="C42" s="89">
        <f>C40-C41</f>
        <v>1.7870000000000004</v>
      </c>
      <c r="D42" s="90"/>
      <c r="E42" s="35">
        <f>E13</f>
        <v>0.11814151612438294</v>
      </c>
      <c r="F42" s="79"/>
      <c r="G42" s="80"/>
    </row>
    <row r="43" spans="1:9" ht="12" customHeight="1" x14ac:dyDescent="0.2">
      <c r="A43" s="49"/>
      <c r="B43" s="87"/>
      <c r="C43" s="32"/>
      <c r="D43" s="40"/>
      <c r="E43" s="32"/>
      <c r="F43" s="86"/>
      <c r="G43" s="86"/>
    </row>
    <row r="44" spans="1:9" ht="12" customHeight="1" x14ac:dyDescent="0.2">
      <c r="A44" s="44"/>
      <c r="B44" s="26" t="s">
        <v>71</v>
      </c>
      <c r="C44" s="28" t="s">
        <v>52</v>
      </c>
      <c r="D44" s="29" t="s">
        <v>29</v>
      </c>
      <c r="E44" s="24"/>
      <c r="F44" s="24"/>
      <c r="G44" s="24"/>
    </row>
    <row r="45" spans="1:9" ht="12" customHeight="1" x14ac:dyDescent="0.2">
      <c r="A45" s="44"/>
      <c r="B45" s="92">
        <f>C42/E42</f>
        <v>15.125927435352981</v>
      </c>
      <c r="C45" s="81">
        <f>(E10^2+E11^2)^2/((D10^4)/(B10*B10*(B10-1))+(D11^4)/(B11*B11*(B11-1)))</f>
        <v>93.62457509515238</v>
      </c>
      <c r="D45" s="97">
        <f>TDIST(ABS(B45),C45, 2)</f>
        <v>8.3341535373934964E-27</v>
      </c>
      <c r="E45" s="24"/>
      <c r="F45" s="24"/>
      <c r="G45" s="24"/>
    </row>
    <row r="46" spans="1:9" ht="12" customHeight="1" x14ac:dyDescent="0.2">
      <c r="A46" s="40"/>
      <c r="B46" s="40"/>
      <c r="C46" s="40"/>
      <c r="D46" s="40"/>
      <c r="E46" s="40"/>
      <c r="F46" s="24"/>
      <c r="G46" s="24"/>
    </row>
    <row r="47" spans="1:9" x14ac:dyDescent="0.2">
      <c r="A47" s="21"/>
      <c r="B47" s="21"/>
      <c r="C47" s="21"/>
      <c r="D47" s="22"/>
      <c r="E47" s="20"/>
    </row>
    <row r="48" spans="1:9" x14ac:dyDescent="0.2">
      <c r="A48" s="21"/>
      <c r="B48" s="22"/>
      <c r="C48" s="20"/>
      <c r="D48" s="22"/>
      <c r="E48" s="21"/>
    </row>
    <row r="49" spans="1:5" x14ac:dyDescent="0.2">
      <c r="A49" s="21"/>
      <c r="B49" s="22"/>
      <c r="C49" s="23"/>
      <c r="D49" s="21"/>
      <c r="E49" s="21"/>
    </row>
  </sheetData>
  <sheetProtection sheet="1" objects="1" scenarios="1" formatCells="0" formatColumns="0"/>
  <mergeCells count="10">
    <mergeCell ref="J1:J2"/>
    <mergeCell ref="B1:E1"/>
    <mergeCell ref="F39:G39"/>
    <mergeCell ref="A38:B38"/>
    <mergeCell ref="F9:G9"/>
    <mergeCell ref="A5:G5"/>
    <mergeCell ref="A19:C19"/>
    <mergeCell ref="F28:G28"/>
    <mergeCell ref="A27:B27"/>
    <mergeCell ref="C27:D27"/>
  </mergeCells>
  <phoneticPr fontId="0" type="noConversion"/>
  <hyperlinks>
    <hyperlink ref="J1:J2" location="Start!A1" display="Start"/>
  </hyperlinks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9"/>
  <sheetViews>
    <sheetView workbookViewId="0">
      <selection activeCell="H79" sqref="H79"/>
    </sheetView>
  </sheetViews>
  <sheetFormatPr defaultRowHeight="12.75" x14ac:dyDescent="0.2"/>
  <cols>
    <col min="1" max="1" width="8.7109375" customWidth="1"/>
    <col min="2" max="2" width="11.7109375" customWidth="1"/>
    <col min="3" max="8" width="8.7109375" customWidth="1"/>
    <col min="9" max="12" width="0" hidden="1" customWidth="1"/>
  </cols>
  <sheetData>
    <row r="1" spans="1:13" ht="14.1" customHeight="1" x14ac:dyDescent="0.2">
      <c r="A1" s="7" t="s">
        <v>98</v>
      </c>
      <c r="H1" s="475" t="s">
        <v>186</v>
      </c>
    </row>
    <row r="2" spans="1:13" ht="14.1" customHeight="1" x14ac:dyDescent="0.2">
      <c r="H2" s="476"/>
    </row>
    <row r="3" spans="1:13" ht="14.1" customHeight="1" x14ac:dyDescent="0.2"/>
    <row r="4" spans="1:13" ht="14.1" customHeight="1" x14ac:dyDescent="0.2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</row>
    <row r="5" spans="1:13" ht="14.1" customHeight="1" x14ac:dyDescent="0.2">
      <c r="A5" s="516" t="s">
        <v>261</v>
      </c>
      <c r="B5" s="517"/>
      <c r="C5" s="517"/>
      <c r="D5" s="517"/>
      <c r="E5" s="517"/>
      <c r="F5" s="517"/>
      <c r="G5" s="518"/>
      <c r="H5" s="24"/>
      <c r="I5" s="24"/>
      <c r="J5" s="24"/>
      <c r="K5" s="24"/>
      <c r="L5" s="24"/>
      <c r="M5" s="24"/>
    </row>
    <row r="6" spans="1:13" ht="14.1" customHeight="1" x14ac:dyDescent="0.2">
      <c r="A6" s="519" t="s">
        <v>284</v>
      </c>
      <c r="B6" s="520"/>
      <c r="C6" s="520"/>
      <c r="D6" s="520"/>
      <c r="E6" s="520"/>
      <c r="F6" s="520"/>
      <c r="G6" s="521"/>
      <c r="H6" s="24"/>
      <c r="I6" s="24"/>
      <c r="J6" s="24"/>
      <c r="K6" s="24"/>
      <c r="L6" s="24"/>
      <c r="M6" s="24"/>
    </row>
    <row r="7" spans="1:13" ht="14.1" customHeight="1" x14ac:dyDescent="0.2">
      <c r="A7" s="24"/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</row>
    <row r="8" spans="1:13" ht="14.1" customHeight="1" x14ac:dyDescent="0.2">
      <c r="A8" s="495" t="s">
        <v>183</v>
      </c>
      <c r="B8" s="342" t="s">
        <v>182</v>
      </c>
      <c r="C8" s="99">
        <v>1</v>
      </c>
      <c r="D8" s="100">
        <v>2</v>
      </c>
      <c r="E8" s="100">
        <v>3</v>
      </c>
      <c r="F8" s="100">
        <v>4</v>
      </c>
      <c r="G8" s="101">
        <v>5</v>
      </c>
      <c r="H8" s="40"/>
      <c r="I8" s="24"/>
      <c r="J8" s="24"/>
      <c r="K8" s="24"/>
      <c r="L8" s="24"/>
      <c r="M8" s="24"/>
    </row>
    <row r="9" spans="1:13" ht="14.1" customHeight="1" x14ac:dyDescent="0.2">
      <c r="A9" s="496"/>
      <c r="B9" s="343" t="s">
        <v>86</v>
      </c>
      <c r="C9" s="103" t="s">
        <v>256</v>
      </c>
      <c r="D9" s="104" t="s">
        <v>257</v>
      </c>
      <c r="E9" s="104" t="s">
        <v>258</v>
      </c>
      <c r="F9" s="104"/>
      <c r="G9" s="105"/>
      <c r="H9" s="102" t="s">
        <v>54</v>
      </c>
      <c r="I9" s="46"/>
      <c r="J9" s="46" t="s">
        <v>87</v>
      </c>
      <c r="K9" s="46" t="s">
        <v>93</v>
      </c>
      <c r="L9" s="46" t="s">
        <v>94</v>
      </c>
      <c r="M9" s="24"/>
    </row>
    <row r="10" spans="1:13" ht="14.1" customHeight="1" x14ac:dyDescent="0.2">
      <c r="A10" s="106">
        <v>1</v>
      </c>
      <c r="B10" s="107" t="s">
        <v>260</v>
      </c>
      <c r="C10" s="127">
        <v>15</v>
      </c>
      <c r="D10" s="128">
        <v>29</v>
      </c>
      <c r="E10" s="128">
        <v>36</v>
      </c>
      <c r="F10" s="128"/>
      <c r="G10" s="129"/>
      <c r="H10" s="108">
        <f>IF(I10,I10,"")</f>
        <v>80</v>
      </c>
      <c r="I10" s="109">
        <f>SUM(C10:G10)</f>
        <v>80</v>
      </c>
      <c r="J10" s="46">
        <f>IF(I10,1,0)</f>
        <v>1</v>
      </c>
      <c r="K10" s="46">
        <f>A10*I10</f>
        <v>80</v>
      </c>
      <c r="L10" s="46">
        <f>A10*K10</f>
        <v>80</v>
      </c>
      <c r="M10" s="24"/>
    </row>
    <row r="11" spans="1:13" ht="14.1" customHeight="1" x14ac:dyDescent="0.2">
      <c r="A11" s="110">
        <v>2</v>
      </c>
      <c r="B11" s="111" t="s">
        <v>259</v>
      </c>
      <c r="C11" s="130">
        <v>156</v>
      </c>
      <c r="D11" s="112">
        <v>197</v>
      </c>
      <c r="E11" s="112">
        <v>150</v>
      </c>
      <c r="F11" s="112"/>
      <c r="G11" s="131"/>
      <c r="H11" s="108">
        <f t="shared" ref="H11:H19" si="0">IF(I11,I11,"")</f>
        <v>503</v>
      </c>
      <c r="I11" s="109">
        <f t="shared" ref="I11:I19" si="1">SUM(C11:G11)</f>
        <v>503</v>
      </c>
      <c r="J11" s="46">
        <f t="shared" ref="J11:J19" si="2">IF(I11,1,0)</f>
        <v>1</v>
      </c>
      <c r="K11" s="46">
        <f t="shared" ref="K11:K19" si="3">A11*I11</f>
        <v>1006</v>
      </c>
      <c r="L11" s="46">
        <f t="shared" ref="L11:L19" si="4">A11*K11</f>
        <v>2012</v>
      </c>
      <c r="M11" s="24"/>
    </row>
    <row r="12" spans="1:13" ht="14.1" customHeight="1" x14ac:dyDescent="0.2">
      <c r="A12" s="110">
        <v>3</v>
      </c>
      <c r="B12" s="111"/>
      <c r="C12" s="130"/>
      <c r="D12" s="112"/>
      <c r="E12" s="112"/>
      <c r="F12" s="112"/>
      <c r="G12" s="131"/>
      <c r="H12" s="108" t="str">
        <f t="shared" si="0"/>
        <v/>
      </c>
      <c r="I12" s="109">
        <f t="shared" si="1"/>
        <v>0</v>
      </c>
      <c r="J12" s="46">
        <f t="shared" si="2"/>
        <v>0</v>
      </c>
      <c r="K12" s="46">
        <f t="shared" si="3"/>
        <v>0</v>
      </c>
      <c r="L12" s="46">
        <f t="shared" si="4"/>
        <v>0</v>
      </c>
      <c r="M12" s="24"/>
    </row>
    <row r="13" spans="1:13" ht="14.1" customHeight="1" x14ac:dyDescent="0.2">
      <c r="A13" s="110">
        <v>4</v>
      </c>
      <c r="B13" s="111"/>
      <c r="C13" s="130"/>
      <c r="D13" s="112"/>
      <c r="E13" s="112"/>
      <c r="F13" s="112"/>
      <c r="G13" s="131"/>
      <c r="H13" s="108" t="str">
        <f t="shared" si="0"/>
        <v/>
      </c>
      <c r="I13" s="109">
        <f t="shared" si="1"/>
        <v>0</v>
      </c>
      <c r="J13" s="46">
        <f t="shared" si="2"/>
        <v>0</v>
      </c>
      <c r="K13" s="46">
        <f t="shared" si="3"/>
        <v>0</v>
      </c>
      <c r="L13" s="46">
        <f t="shared" si="4"/>
        <v>0</v>
      </c>
      <c r="M13" s="24"/>
    </row>
    <row r="14" spans="1:13" ht="14.1" customHeight="1" x14ac:dyDescent="0.2">
      <c r="A14" s="110">
        <v>5</v>
      </c>
      <c r="B14" s="111"/>
      <c r="C14" s="130"/>
      <c r="D14" s="112"/>
      <c r="E14" s="112"/>
      <c r="F14" s="112"/>
      <c r="G14" s="131"/>
      <c r="H14" s="108" t="str">
        <f t="shared" si="0"/>
        <v/>
      </c>
      <c r="I14" s="109">
        <f t="shared" si="1"/>
        <v>0</v>
      </c>
      <c r="J14" s="46">
        <f t="shared" si="2"/>
        <v>0</v>
      </c>
      <c r="K14" s="46">
        <f t="shared" si="3"/>
        <v>0</v>
      </c>
      <c r="L14" s="46">
        <f t="shared" si="4"/>
        <v>0</v>
      </c>
      <c r="M14" s="24"/>
    </row>
    <row r="15" spans="1:13" ht="14.1" customHeight="1" x14ac:dyDescent="0.2">
      <c r="A15" s="110">
        <v>6</v>
      </c>
      <c r="B15" s="111"/>
      <c r="C15" s="130"/>
      <c r="D15" s="112"/>
      <c r="E15" s="112"/>
      <c r="F15" s="112"/>
      <c r="G15" s="131"/>
      <c r="H15" s="108" t="str">
        <f t="shared" si="0"/>
        <v/>
      </c>
      <c r="I15" s="109">
        <f t="shared" si="1"/>
        <v>0</v>
      </c>
      <c r="J15" s="46">
        <f t="shared" si="2"/>
        <v>0</v>
      </c>
      <c r="K15" s="46">
        <f t="shared" si="3"/>
        <v>0</v>
      </c>
      <c r="L15" s="46">
        <f t="shared" si="4"/>
        <v>0</v>
      </c>
      <c r="M15" s="24"/>
    </row>
    <row r="16" spans="1:13" ht="14.1" customHeight="1" x14ac:dyDescent="0.2">
      <c r="A16" s="110">
        <v>7</v>
      </c>
      <c r="B16" s="111"/>
      <c r="C16" s="130"/>
      <c r="D16" s="112"/>
      <c r="E16" s="112"/>
      <c r="F16" s="112"/>
      <c r="G16" s="131"/>
      <c r="H16" s="108" t="str">
        <f t="shared" si="0"/>
        <v/>
      </c>
      <c r="I16" s="109">
        <f t="shared" si="1"/>
        <v>0</v>
      </c>
      <c r="J16" s="46">
        <f t="shared" si="2"/>
        <v>0</v>
      </c>
      <c r="K16" s="46">
        <f t="shared" si="3"/>
        <v>0</v>
      </c>
      <c r="L16" s="46">
        <f t="shared" si="4"/>
        <v>0</v>
      </c>
      <c r="M16" s="24"/>
    </row>
    <row r="17" spans="1:13" ht="14.1" customHeight="1" x14ac:dyDescent="0.2">
      <c r="A17" s="110">
        <v>8</v>
      </c>
      <c r="B17" s="111"/>
      <c r="C17" s="130"/>
      <c r="D17" s="112"/>
      <c r="E17" s="112"/>
      <c r="F17" s="112"/>
      <c r="G17" s="131"/>
      <c r="H17" s="108" t="str">
        <f t="shared" si="0"/>
        <v/>
      </c>
      <c r="I17" s="109">
        <f t="shared" si="1"/>
        <v>0</v>
      </c>
      <c r="J17" s="46">
        <f t="shared" si="2"/>
        <v>0</v>
      </c>
      <c r="K17" s="46">
        <f t="shared" si="3"/>
        <v>0</v>
      </c>
      <c r="L17" s="46">
        <f t="shared" si="4"/>
        <v>0</v>
      </c>
      <c r="M17" s="24"/>
    </row>
    <row r="18" spans="1:13" ht="14.1" customHeight="1" x14ac:dyDescent="0.2">
      <c r="A18" s="110">
        <v>9</v>
      </c>
      <c r="B18" s="111"/>
      <c r="C18" s="130"/>
      <c r="D18" s="112"/>
      <c r="E18" s="112"/>
      <c r="F18" s="112"/>
      <c r="G18" s="131"/>
      <c r="H18" s="108" t="str">
        <f t="shared" si="0"/>
        <v/>
      </c>
      <c r="I18" s="109">
        <f t="shared" si="1"/>
        <v>0</v>
      </c>
      <c r="J18" s="46">
        <f t="shared" si="2"/>
        <v>0</v>
      </c>
      <c r="K18" s="46">
        <f t="shared" si="3"/>
        <v>0</v>
      </c>
      <c r="L18" s="46">
        <f t="shared" si="4"/>
        <v>0</v>
      </c>
      <c r="M18" s="24"/>
    </row>
    <row r="19" spans="1:13" ht="14.1" customHeight="1" x14ac:dyDescent="0.2">
      <c r="A19" s="113">
        <v>10</v>
      </c>
      <c r="B19" s="114"/>
      <c r="C19" s="132"/>
      <c r="D19" s="133"/>
      <c r="E19" s="133"/>
      <c r="F19" s="133"/>
      <c r="G19" s="134"/>
      <c r="H19" s="108" t="str">
        <f t="shared" si="0"/>
        <v/>
      </c>
      <c r="I19" s="109">
        <f t="shared" si="1"/>
        <v>0</v>
      </c>
      <c r="J19" s="46">
        <f t="shared" si="2"/>
        <v>0</v>
      </c>
      <c r="K19" s="46">
        <f t="shared" si="3"/>
        <v>0</v>
      </c>
      <c r="L19" s="46">
        <f t="shared" si="4"/>
        <v>0</v>
      </c>
      <c r="M19" s="24"/>
    </row>
    <row r="20" spans="1:13" ht="14.1" customHeight="1" x14ac:dyDescent="0.2">
      <c r="A20" s="40"/>
      <c r="B20" s="102" t="s">
        <v>54</v>
      </c>
      <c r="C20" s="115">
        <f>IF(C21,C21,"")</f>
        <v>171</v>
      </c>
      <c r="D20" s="116">
        <f>IF(D21,D21,"")</f>
        <v>226</v>
      </c>
      <c r="E20" s="116">
        <f>IF(E21,E21,"")</f>
        <v>186</v>
      </c>
      <c r="F20" s="116" t="str">
        <f>IF(F21,F21,"")</f>
        <v/>
      </c>
      <c r="G20" s="117" t="str">
        <f>IF(G21,G21,"")</f>
        <v/>
      </c>
      <c r="H20" s="118">
        <f>SUM(H10:H19)</f>
        <v>583</v>
      </c>
      <c r="I20" s="46"/>
      <c r="J20" s="46">
        <f>SUM(J10:J19)</f>
        <v>2</v>
      </c>
      <c r="K20" s="46">
        <f>SUM(K10:K19)</f>
        <v>1086</v>
      </c>
      <c r="L20" s="46">
        <f>SUM(L10:L19)</f>
        <v>2092</v>
      </c>
      <c r="M20" s="24"/>
    </row>
    <row r="21" spans="1:13" ht="14.1" hidden="1" customHeight="1" x14ac:dyDescent="0.2">
      <c r="A21" s="46"/>
      <c r="B21" s="46"/>
      <c r="C21" s="109">
        <f>SUM(C10:C19)</f>
        <v>171</v>
      </c>
      <c r="D21" s="109">
        <f>SUM(D10:D19)</f>
        <v>226</v>
      </c>
      <c r="E21" s="109">
        <f>SUM(E10:E19)</f>
        <v>186</v>
      </c>
      <c r="F21" s="109">
        <f>SUM(F10:F19)</f>
        <v>0</v>
      </c>
      <c r="G21" s="109">
        <f>SUM(G10:G19)</f>
        <v>0</v>
      </c>
      <c r="H21" s="46"/>
      <c r="I21" s="24"/>
      <c r="J21" s="24"/>
      <c r="K21" s="24"/>
      <c r="L21" s="24"/>
      <c r="M21" s="24"/>
    </row>
    <row r="22" spans="1:13" ht="14.1" hidden="1" customHeight="1" x14ac:dyDescent="0.2">
      <c r="A22" s="46"/>
      <c r="B22" s="46" t="s">
        <v>88</v>
      </c>
      <c r="C22" s="46">
        <f>IF(C21,1,0)</f>
        <v>1</v>
      </c>
      <c r="D22" s="46">
        <f>IF(D21,1,0)</f>
        <v>1</v>
      </c>
      <c r="E22" s="46">
        <f>IF(E21,1,0)</f>
        <v>1</v>
      </c>
      <c r="F22" s="46">
        <f>IF(F21,1,0)</f>
        <v>0</v>
      </c>
      <c r="G22" s="46">
        <f>IF(G21,1,0)</f>
        <v>0</v>
      </c>
      <c r="H22" s="46">
        <f>SUM(C22:G22)</f>
        <v>3</v>
      </c>
      <c r="I22" s="24"/>
      <c r="J22" s="24"/>
      <c r="K22" s="24"/>
      <c r="L22" s="24"/>
      <c r="M22" s="24"/>
    </row>
    <row r="23" spans="1:13" ht="14.1" hidden="1" customHeight="1" x14ac:dyDescent="0.2">
      <c r="A23" s="46"/>
      <c r="B23" s="46" t="s">
        <v>91</v>
      </c>
      <c r="C23" s="46">
        <f>C8*C21</f>
        <v>171</v>
      </c>
      <c r="D23" s="46">
        <f>D8*D21</f>
        <v>452</v>
      </c>
      <c r="E23" s="46">
        <f>E8*E21</f>
        <v>558</v>
      </c>
      <c r="F23" s="46">
        <f>F8*F21</f>
        <v>0</v>
      </c>
      <c r="G23" s="46">
        <f>G8*G21</f>
        <v>0</v>
      </c>
      <c r="H23" s="46">
        <f>SUM(C23:G23)</f>
        <v>1181</v>
      </c>
      <c r="I23" s="24"/>
      <c r="J23" s="24"/>
      <c r="K23" s="24"/>
      <c r="L23" s="24"/>
      <c r="M23" s="24"/>
    </row>
    <row r="24" spans="1:13" ht="14.1" hidden="1" customHeight="1" x14ac:dyDescent="0.2">
      <c r="A24" s="46"/>
      <c r="B24" s="46" t="s">
        <v>92</v>
      </c>
      <c r="C24" s="46">
        <f>C23*C8</f>
        <v>171</v>
      </c>
      <c r="D24" s="46">
        <f>D23*D8</f>
        <v>904</v>
      </c>
      <c r="E24" s="46">
        <f>E23*E8</f>
        <v>1674</v>
      </c>
      <c r="F24" s="46">
        <f>F23*F8</f>
        <v>0</v>
      </c>
      <c r="G24" s="46">
        <f>G23*G8</f>
        <v>0</v>
      </c>
      <c r="H24" s="46">
        <f>SUM(C24:G24)</f>
        <v>2749</v>
      </c>
      <c r="I24" s="24"/>
      <c r="J24" s="24"/>
      <c r="K24" s="24"/>
      <c r="L24" s="24"/>
      <c r="M24" s="24"/>
    </row>
    <row r="25" spans="1:13" ht="14.1" hidden="1" customHeight="1" x14ac:dyDescent="0.2">
      <c r="A25" s="46"/>
      <c r="B25" s="46"/>
      <c r="C25" s="46"/>
      <c r="D25" s="46"/>
      <c r="E25" s="46"/>
      <c r="F25" s="46"/>
      <c r="G25" s="46"/>
      <c r="H25" s="46"/>
      <c r="I25" s="24"/>
      <c r="J25" s="24"/>
      <c r="K25" s="24"/>
      <c r="L25" s="24"/>
      <c r="M25" s="24"/>
    </row>
    <row r="26" spans="1:13" ht="14.1" hidden="1" customHeight="1" x14ac:dyDescent="0.2">
      <c r="A26" s="46" t="s">
        <v>89</v>
      </c>
      <c r="B26" s="46"/>
      <c r="C26" s="46">
        <f t="shared" ref="C26:G33" si="5">IF($H$20,$I10*C$21/$H$20,0)</f>
        <v>23.464837049742709</v>
      </c>
      <c r="D26" s="46">
        <f t="shared" si="5"/>
        <v>31.012006861063465</v>
      </c>
      <c r="E26" s="46">
        <f t="shared" si="5"/>
        <v>25.523156089193826</v>
      </c>
      <c r="F26" s="46">
        <f t="shared" si="5"/>
        <v>0</v>
      </c>
      <c r="G26" s="46">
        <f t="shared" si="5"/>
        <v>0</v>
      </c>
      <c r="H26" s="46"/>
      <c r="I26" s="24"/>
      <c r="J26" s="24"/>
      <c r="K26" s="24"/>
      <c r="L26" s="24"/>
      <c r="M26" s="24"/>
    </row>
    <row r="27" spans="1:13" ht="14.1" hidden="1" customHeight="1" x14ac:dyDescent="0.2">
      <c r="A27" s="46"/>
      <c r="B27" s="46"/>
      <c r="C27" s="46">
        <f t="shared" si="5"/>
        <v>147.5351629502573</v>
      </c>
      <c r="D27" s="46">
        <f t="shared" si="5"/>
        <v>194.98799313893653</v>
      </c>
      <c r="E27" s="46">
        <f t="shared" si="5"/>
        <v>160.47684391080617</v>
      </c>
      <c r="F27" s="46">
        <f t="shared" si="5"/>
        <v>0</v>
      </c>
      <c r="G27" s="46">
        <f t="shared" si="5"/>
        <v>0</v>
      </c>
      <c r="H27" s="46"/>
      <c r="I27" s="24"/>
      <c r="J27" s="24"/>
      <c r="K27" s="24"/>
      <c r="L27" s="24"/>
      <c r="M27" s="24"/>
    </row>
    <row r="28" spans="1:13" ht="14.1" hidden="1" customHeight="1" x14ac:dyDescent="0.2">
      <c r="A28" s="46"/>
      <c r="B28" s="46"/>
      <c r="C28" s="46">
        <f t="shared" si="5"/>
        <v>0</v>
      </c>
      <c r="D28" s="46">
        <f t="shared" si="5"/>
        <v>0</v>
      </c>
      <c r="E28" s="46">
        <f t="shared" si="5"/>
        <v>0</v>
      </c>
      <c r="F28" s="46">
        <f t="shared" si="5"/>
        <v>0</v>
      </c>
      <c r="G28" s="46">
        <f t="shared" si="5"/>
        <v>0</v>
      </c>
      <c r="H28" s="46"/>
      <c r="I28" s="24"/>
      <c r="J28" s="24"/>
      <c r="K28" s="24"/>
      <c r="L28" s="24"/>
      <c r="M28" s="24"/>
    </row>
    <row r="29" spans="1:13" ht="14.1" hidden="1" customHeight="1" x14ac:dyDescent="0.2">
      <c r="A29" s="46"/>
      <c r="B29" s="46"/>
      <c r="C29" s="46">
        <f t="shared" si="5"/>
        <v>0</v>
      </c>
      <c r="D29" s="46">
        <f t="shared" si="5"/>
        <v>0</v>
      </c>
      <c r="E29" s="46">
        <f t="shared" si="5"/>
        <v>0</v>
      </c>
      <c r="F29" s="46">
        <f t="shared" si="5"/>
        <v>0</v>
      </c>
      <c r="G29" s="46">
        <f t="shared" si="5"/>
        <v>0</v>
      </c>
      <c r="H29" s="46"/>
      <c r="I29" s="24"/>
      <c r="J29" s="24"/>
      <c r="K29" s="24"/>
      <c r="L29" s="24"/>
      <c r="M29" s="24"/>
    </row>
    <row r="30" spans="1:13" ht="14.1" hidden="1" customHeight="1" x14ac:dyDescent="0.2">
      <c r="A30" s="46"/>
      <c r="B30" s="46"/>
      <c r="C30" s="46">
        <f t="shared" si="5"/>
        <v>0</v>
      </c>
      <c r="D30" s="46">
        <f t="shared" si="5"/>
        <v>0</v>
      </c>
      <c r="E30" s="46">
        <f t="shared" si="5"/>
        <v>0</v>
      </c>
      <c r="F30" s="46">
        <f t="shared" si="5"/>
        <v>0</v>
      </c>
      <c r="G30" s="46">
        <f t="shared" si="5"/>
        <v>0</v>
      </c>
      <c r="H30" s="46"/>
      <c r="I30" s="24"/>
      <c r="J30" s="24"/>
      <c r="K30" s="24"/>
      <c r="L30" s="24"/>
      <c r="M30" s="24"/>
    </row>
    <row r="31" spans="1:13" ht="14.1" hidden="1" customHeight="1" x14ac:dyDescent="0.2">
      <c r="A31" s="46"/>
      <c r="B31" s="46"/>
      <c r="C31" s="46">
        <f t="shared" si="5"/>
        <v>0</v>
      </c>
      <c r="D31" s="46">
        <f t="shared" si="5"/>
        <v>0</v>
      </c>
      <c r="E31" s="46">
        <f t="shared" si="5"/>
        <v>0</v>
      </c>
      <c r="F31" s="46">
        <f t="shared" si="5"/>
        <v>0</v>
      </c>
      <c r="G31" s="46">
        <f t="shared" si="5"/>
        <v>0</v>
      </c>
      <c r="H31" s="46"/>
      <c r="I31" s="24"/>
      <c r="J31" s="24"/>
      <c r="K31" s="24"/>
      <c r="L31" s="24"/>
      <c r="M31" s="24"/>
    </row>
    <row r="32" spans="1:13" ht="14.1" hidden="1" customHeight="1" x14ac:dyDescent="0.2">
      <c r="A32" s="46"/>
      <c r="B32" s="46"/>
      <c r="C32" s="46">
        <f t="shared" si="5"/>
        <v>0</v>
      </c>
      <c r="D32" s="46">
        <f t="shared" si="5"/>
        <v>0</v>
      </c>
      <c r="E32" s="46">
        <f t="shared" si="5"/>
        <v>0</v>
      </c>
      <c r="F32" s="46">
        <f t="shared" si="5"/>
        <v>0</v>
      </c>
      <c r="G32" s="46">
        <f t="shared" si="5"/>
        <v>0</v>
      </c>
      <c r="H32" s="46"/>
      <c r="I32" s="24"/>
      <c r="J32" s="24"/>
      <c r="K32" s="24"/>
      <c r="L32" s="24"/>
      <c r="M32" s="24"/>
    </row>
    <row r="33" spans="1:13" ht="14.1" hidden="1" customHeight="1" x14ac:dyDescent="0.2">
      <c r="A33" s="46"/>
      <c r="B33" s="46"/>
      <c r="C33" s="46">
        <f t="shared" si="5"/>
        <v>0</v>
      </c>
      <c r="D33" s="46">
        <f t="shared" si="5"/>
        <v>0</v>
      </c>
      <c r="E33" s="46">
        <f t="shared" si="5"/>
        <v>0</v>
      </c>
      <c r="F33" s="46">
        <f t="shared" si="5"/>
        <v>0</v>
      </c>
      <c r="G33" s="46">
        <f t="shared" si="5"/>
        <v>0</v>
      </c>
      <c r="H33" s="46"/>
      <c r="I33" s="24"/>
      <c r="J33" s="24"/>
      <c r="K33" s="24"/>
      <c r="L33" s="24"/>
      <c r="M33" s="24"/>
    </row>
    <row r="34" spans="1:13" ht="14.1" hidden="1" customHeight="1" x14ac:dyDescent="0.2">
      <c r="A34" s="46"/>
      <c r="B34" s="46"/>
      <c r="C34" s="46">
        <f t="shared" ref="C34:G35" si="6">IF($H$20,$I18*C$21/$H$20,0)</f>
        <v>0</v>
      </c>
      <c r="D34" s="46">
        <f t="shared" si="6"/>
        <v>0</v>
      </c>
      <c r="E34" s="46">
        <f t="shared" si="6"/>
        <v>0</v>
      </c>
      <c r="F34" s="46">
        <f t="shared" si="6"/>
        <v>0</v>
      </c>
      <c r="G34" s="46">
        <f t="shared" si="6"/>
        <v>0</v>
      </c>
      <c r="H34" s="46"/>
      <c r="I34" s="24"/>
      <c r="J34" s="24"/>
      <c r="K34" s="24"/>
      <c r="L34" s="24"/>
      <c r="M34" s="24"/>
    </row>
    <row r="35" spans="1:13" ht="14.1" hidden="1" customHeight="1" x14ac:dyDescent="0.2">
      <c r="A35" s="46"/>
      <c r="B35" s="46"/>
      <c r="C35" s="46">
        <f t="shared" si="6"/>
        <v>0</v>
      </c>
      <c r="D35" s="46">
        <f t="shared" si="6"/>
        <v>0</v>
      </c>
      <c r="E35" s="46">
        <f t="shared" si="6"/>
        <v>0</v>
      </c>
      <c r="F35" s="46">
        <f t="shared" si="6"/>
        <v>0</v>
      </c>
      <c r="G35" s="46">
        <f t="shared" si="6"/>
        <v>0</v>
      </c>
      <c r="H35" s="46"/>
      <c r="I35" s="24"/>
      <c r="J35" s="24"/>
      <c r="K35" s="24"/>
      <c r="L35" s="24"/>
      <c r="M35" s="24"/>
    </row>
    <row r="36" spans="1:13" ht="14.1" hidden="1" customHeight="1" x14ac:dyDescent="0.2">
      <c r="A36" s="24"/>
      <c r="B36" s="24"/>
      <c r="C36" s="46"/>
      <c r="D36" s="46"/>
      <c r="E36" s="46"/>
      <c r="F36" s="46"/>
      <c r="G36" s="46"/>
      <c r="H36" s="46"/>
      <c r="I36" s="24"/>
      <c r="J36" s="24"/>
      <c r="K36" s="24"/>
      <c r="L36" s="24"/>
      <c r="M36" s="24"/>
    </row>
    <row r="37" spans="1:13" ht="14.1" hidden="1" customHeight="1" x14ac:dyDescent="0.2">
      <c r="A37" s="24" t="s">
        <v>15</v>
      </c>
      <c r="B37" s="24"/>
      <c r="C37" s="46">
        <f t="shared" ref="C37:G46" si="7">IF(C26,((C10-C26)^2)/C26,0)</f>
        <v>3.0536528392163933</v>
      </c>
      <c r="D37" s="46">
        <f t="shared" si="7"/>
        <v>0.13053562212541181</v>
      </c>
      <c r="E37" s="46">
        <f t="shared" si="7"/>
        <v>4.3005754440325337</v>
      </c>
      <c r="F37" s="46">
        <f t="shared" si="7"/>
        <v>0</v>
      </c>
      <c r="G37" s="46">
        <f t="shared" si="7"/>
        <v>0</v>
      </c>
      <c r="H37" s="46">
        <f>SUM(C37:G37)</f>
        <v>7.4847639053743382</v>
      </c>
      <c r="I37" s="24"/>
      <c r="J37" s="24"/>
      <c r="K37" s="24"/>
      <c r="L37" s="24"/>
      <c r="M37" s="24"/>
    </row>
    <row r="38" spans="1:13" ht="14.1" hidden="1" customHeight="1" x14ac:dyDescent="0.2">
      <c r="A38" s="24"/>
      <c r="B38" s="24"/>
      <c r="C38" s="46">
        <f t="shared" si="7"/>
        <v>0.48567043168451463</v>
      </c>
      <c r="D38" s="46">
        <f t="shared" si="7"/>
        <v>2.0761132743604336E-2</v>
      </c>
      <c r="E38" s="46">
        <f t="shared" si="7"/>
        <v>0.68398814219205228</v>
      </c>
      <c r="F38" s="46">
        <f t="shared" si="7"/>
        <v>0</v>
      </c>
      <c r="G38" s="46">
        <f t="shared" si="7"/>
        <v>0</v>
      </c>
      <c r="H38" s="46">
        <f t="shared" ref="H38:H46" si="8">SUM(C38:G38)</f>
        <v>1.1904197066201712</v>
      </c>
      <c r="I38" s="24"/>
      <c r="J38" s="24"/>
      <c r="K38" s="24"/>
      <c r="L38" s="24"/>
      <c r="M38" s="24"/>
    </row>
    <row r="39" spans="1:13" ht="14.1" hidden="1" customHeight="1" x14ac:dyDescent="0.2">
      <c r="A39" s="24"/>
      <c r="B39" s="24"/>
      <c r="C39" s="46">
        <f t="shared" si="7"/>
        <v>0</v>
      </c>
      <c r="D39" s="46">
        <f t="shared" si="7"/>
        <v>0</v>
      </c>
      <c r="E39" s="46">
        <f t="shared" si="7"/>
        <v>0</v>
      </c>
      <c r="F39" s="46">
        <f t="shared" si="7"/>
        <v>0</v>
      </c>
      <c r="G39" s="46">
        <f t="shared" si="7"/>
        <v>0</v>
      </c>
      <c r="H39" s="46">
        <f t="shared" si="8"/>
        <v>0</v>
      </c>
      <c r="I39" s="24"/>
      <c r="J39" s="24"/>
      <c r="K39" s="24"/>
      <c r="L39" s="24"/>
      <c r="M39" s="24"/>
    </row>
    <row r="40" spans="1:13" ht="14.1" hidden="1" customHeight="1" x14ac:dyDescent="0.2">
      <c r="A40" s="24"/>
      <c r="B40" s="24"/>
      <c r="C40" s="46">
        <f t="shared" si="7"/>
        <v>0</v>
      </c>
      <c r="D40" s="46">
        <f t="shared" si="7"/>
        <v>0</v>
      </c>
      <c r="E40" s="46">
        <f t="shared" si="7"/>
        <v>0</v>
      </c>
      <c r="F40" s="46">
        <f t="shared" si="7"/>
        <v>0</v>
      </c>
      <c r="G40" s="46">
        <f t="shared" si="7"/>
        <v>0</v>
      </c>
      <c r="H40" s="46">
        <f t="shared" si="8"/>
        <v>0</v>
      </c>
      <c r="I40" s="24"/>
      <c r="J40" s="24"/>
      <c r="K40" s="24"/>
      <c r="L40" s="24"/>
      <c r="M40" s="24"/>
    </row>
    <row r="41" spans="1:13" ht="14.1" hidden="1" customHeight="1" x14ac:dyDescent="0.2">
      <c r="A41" s="24"/>
      <c r="B41" s="24"/>
      <c r="C41" s="46">
        <f t="shared" si="7"/>
        <v>0</v>
      </c>
      <c r="D41" s="46">
        <f t="shared" si="7"/>
        <v>0</v>
      </c>
      <c r="E41" s="46">
        <f t="shared" si="7"/>
        <v>0</v>
      </c>
      <c r="F41" s="46">
        <f t="shared" si="7"/>
        <v>0</v>
      </c>
      <c r="G41" s="46">
        <f t="shared" si="7"/>
        <v>0</v>
      </c>
      <c r="H41" s="46">
        <f t="shared" si="8"/>
        <v>0</v>
      </c>
      <c r="I41" s="24"/>
      <c r="J41" s="24"/>
      <c r="K41" s="24"/>
      <c r="L41" s="24"/>
      <c r="M41" s="24"/>
    </row>
    <row r="42" spans="1:13" ht="14.1" hidden="1" customHeight="1" x14ac:dyDescent="0.2">
      <c r="A42" s="24"/>
      <c r="B42" s="24"/>
      <c r="C42" s="46">
        <f t="shared" si="7"/>
        <v>0</v>
      </c>
      <c r="D42" s="46">
        <f t="shared" si="7"/>
        <v>0</v>
      </c>
      <c r="E42" s="46">
        <f t="shared" si="7"/>
        <v>0</v>
      </c>
      <c r="F42" s="46">
        <f t="shared" si="7"/>
        <v>0</v>
      </c>
      <c r="G42" s="46">
        <f t="shared" si="7"/>
        <v>0</v>
      </c>
      <c r="H42" s="46">
        <f t="shared" si="8"/>
        <v>0</v>
      </c>
      <c r="I42" s="24"/>
      <c r="J42" s="24"/>
      <c r="K42" s="24"/>
      <c r="L42" s="24"/>
      <c r="M42" s="24"/>
    </row>
    <row r="43" spans="1:13" ht="14.1" hidden="1" customHeight="1" x14ac:dyDescent="0.2">
      <c r="A43" s="24"/>
      <c r="B43" s="24"/>
      <c r="C43" s="46">
        <f t="shared" si="7"/>
        <v>0</v>
      </c>
      <c r="D43" s="46">
        <f t="shared" si="7"/>
        <v>0</v>
      </c>
      <c r="E43" s="46">
        <f t="shared" si="7"/>
        <v>0</v>
      </c>
      <c r="F43" s="46">
        <f t="shared" si="7"/>
        <v>0</v>
      </c>
      <c r="G43" s="46">
        <f t="shared" si="7"/>
        <v>0</v>
      </c>
      <c r="H43" s="46">
        <f t="shared" si="8"/>
        <v>0</v>
      </c>
      <c r="I43" s="24"/>
      <c r="J43" s="24"/>
      <c r="K43" s="24"/>
      <c r="L43" s="24"/>
      <c r="M43" s="24"/>
    </row>
    <row r="44" spans="1:13" ht="14.1" hidden="1" customHeight="1" x14ac:dyDescent="0.2">
      <c r="A44" s="24"/>
      <c r="B44" s="24"/>
      <c r="C44" s="46">
        <f t="shared" si="7"/>
        <v>0</v>
      </c>
      <c r="D44" s="46">
        <f t="shared" si="7"/>
        <v>0</v>
      </c>
      <c r="E44" s="46">
        <f t="shared" si="7"/>
        <v>0</v>
      </c>
      <c r="F44" s="46">
        <f t="shared" si="7"/>
        <v>0</v>
      </c>
      <c r="G44" s="46">
        <f t="shared" si="7"/>
        <v>0</v>
      </c>
      <c r="H44" s="46">
        <f t="shared" si="8"/>
        <v>0</v>
      </c>
      <c r="I44" s="24"/>
      <c r="J44" s="24"/>
      <c r="K44" s="24"/>
      <c r="L44" s="24"/>
      <c r="M44" s="24"/>
    </row>
    <row r="45" spans="1:13" ht="14.1" hidden="1" customHeight="1" x14ac:dyDescent="0.2">
      <c r="A45" s="24"/>
      <c r="B45" s="24"/>
      <c r="C45" s="46">
        <f t="shared" si="7"/>
        <v>0</v>
      </c>
      <c r="D45" s="46">
        <f t="shared" si="7"/>
        <v>0</v>
      </c>
      <c r="E45" s="46">
        <f t="shared" si="7"/>
        <v>0</v>
      </c>
      <c r="F45" s="46">
        <f t="shared" si="7"/>
        <v>0</v>
      </c>
      <c r="G45" s="46">
        <f t="shared" si="7"/>
        <v>0</v>
      </c>
      <c r="H45" s="46">
        <f t="shared" si="8"/>
        <v>0</v>
      </c>
      <c r="I45" s="24"/>
      <c r="J45" s="24"/>
      <c r="K45" s="24"/>
      <c r="L45" s="24"/>
      <c r="M45" s="24"/>
    </row>
    <row r="46" spans="1:13" ht="14.1" hidden="1" customHeight="1" x14ac:dyDescent="0.2">
      <c r="A46" s="24"/>
      <c r="B46" s="24"/>
      <c r="C46" s="46">
        <f t="shared" si="7"/>
        <v>0</v>
      </c>
      <c r="D46" s="46">
        <f t="shared" si="7"/>
        <v>0</v>
      </c>
      <c r="E46" s="46">
        <f t="shared" si="7"/>
        <v>0</v>
      </c>
      <c r="F46" s="46">
        <f t="shared" si="7"/>
        <v>0</v>
      </c>
      <c r="G46" s="46">
        <f t="shared" si="7"/>
        <v>0</v>
      </c>
      <c r="H46" s="46">
        <f t="shared" si="8"/>
        <v>0</v>
      </c>
      <c r="I46" s="24"/>
      <c r="J46" s="24"/>
      <c r="K46" s="24"/>
      <c r="L46" s="24"/>
      <c r="M46" s="24"/>
    </row>
    <row r="47" spans="1:13" ht="14.1" hidden="1" customHeight="1" x14ac:dyDescent="0.2">
      <c r="A47" s="24"/>
      <c r="B47" s="24"/>
      <c r="C47" s="46"/>
      <c r="D47" s="46"/>
      <c r="E47" s="46"/>
      <c r="F47" s="46"/>
      <c r="G47" s="46"/>
      <c r="H47" s="46">
        <f>SUM(H37:H46)</f>
        <v>8.6751836119945089</v>
      </c>
      <c r="I47" s="24"/>
      <c r="J47" s="24"/>
      <c r="K47" s="24"/>
      <c r="L47" s="24"/>
      <c r="M47" s="24"/>
    </row>
    <row r="48" spans="1:13" ht="14.1" hidden="1" customHeight="1" x14ac:dyDescent="0.2">
      <c r="A48" s="24"/>
      <c r="B48" s="24"/>
      <c r="C48" s="46"/>
      <c r="D48" s="46"/>
      <c r="E48" s="46"/>
      <c r="F48" s="46"/>
      <c r="G48" s="46"/>
      <c r="H48" s="46"/>
      <c r="I48" s="24"/>
      <c r="J48" s="24"/>
      <c r="K48" s="24"/>
      <c r="L48" s="24"/>
      <c r="M48" s="24"/>
    </row>
    <row r="49" spans="1:13" ht="14.1" hidden="1" customHeight="1" x14ac:dyDescent="0.2">
      <c r="A49" s="24" t="s">
        <v>95</v>
      </c>
      <c r="B49" s="24"/>
      <c r="C49" s="46">
        <f t="shared" ref="C49:G56" si="9">C$8*$A10*C10</f>
        <v>15</v>
      </c>
      <c r="D49" s="46">
        <f t="shared" si="9"/>
        <v>58</v>
      </c>
      <c r="E49" s="46">
        <f t="shared" si="9"/>
        <v>108</v>
      </c>
      <c r="F49" s="46">
        <f t="shared" si="9"/>
        <v>0</v>
      </c>
      <c r="G49" s="46">
        <f t="shared" si="9"/>
        <v>0</v>
      </c>
      <c r="H49" s="46">
        <f>SUM(C49:G49)</f>
        <v>181</v>
      </c>
      <c r="I49" s="24"/>
      <c r="J49" s="24"/>
      <c r="K49" s="24"/>
      <c r="L49" s="24"/>
      <c r="M49" s="24"/>
    </row>
    <row r="50" spans="1:13" ht="14.1" hidden="1" customHeight="1" x14ac:dyDescent="0.2">
      <c r="A50" s="24"/>
      <c r="B50" s="24"/>
      <c r="C50" s="46">
        <f t="shared" si="9"/>
        <v>312</v>
      </c>
      <c r="D50" s="46">
        <f t="shared" si="9"/>
        <v>788</v>
      </c>
      <c r="E50" s="46">
        <f t="shared" si="9"/>
        <v>900</v>
      </c>
      <c r="F50" s="46">
        <f t="shared" si="9"/>
        <v>0</v>
      </c>
      <c r="G50" s="46">
        <f t="shared" si="9"/>
        <v>0</v>
      </c>
      <c r="H50" s="46">
        <f t="shared" ref="H50:H58" si="10">SUM(C50:G50)</f>
        <v>2000</v>
      </c>
      <c r="I50" s="24"/>
      <c r="J50" s="24"/>
      <c r="K50" s="24"/>
      <c r="L50" s="24"/>
      <c r="M50" s="24"/>
    </row>
    <row r="51" spans="1:13" ht="14.1" hidden="1" customHeight="1" x14ac:dyDescent="0.2">
      <c r="A51" s="24"/>
      <c r="B51" s="24"/>
      <c r="C51" s="46">
        <f t="shared" si="9"/>
        <v>0</v>
      </c>
      <c r="D51" s="46">
        <f t="shared" si="9"/>
        <v>0</v>
      </c>
      <c r="E51" s="46">
        <f t="shared" si="9"/>
        <v>0</v>
      </c>
      <c r="F51" s="46">
        <f t="shared" si="9"/>
        <v>0</v>
      </c>
      <c r="G51" s="46">
        <f t="shared" si="9"/>
        <v>0</v>
      </c>
      <c r="H51" s="46">
        <f t="shared" si="10"/>
        <v>0</v>
      </c>
      <c r="I51" s="24"/>
      <c r="J51" s="24"/>
      <c r="K51" s="24"/>
      <c r="L51" s="24"/>
      <c r="M51" s="24"/>
    </row>
    <row r="52" spans="1:13" ht="14.1" hidden="1" customHeight="1" x14ac:dyDescent="0.2">
      <c r="A52" s="24"/>
      <c r="B52" s="24"/>
      <c r="C52" s="46">
        <f t="shared" si="9"/>
        <v>0</v>
      </c>
      <c r="D52" s="46">
        <f t="shared" si="9"/>
        <v>0</v>
      </c>
      <c r="E52" s="46">
        <f t="shared" si="9"/>
        <v>0</v>
      </c>
      <c r="F52" s="46">
        <f t="shared" si="9"/>
        <v>0</v>
      </c>
      <c r="G52" s="46">
        <f t="shared" si="9"/>
        <v>0</v>
      </c>
      <c r="H52" s="46">
        <f t="shared" si="10"/>
        <v>0</v>
      </c>
      <c r="I52" s="24"/>
      <c r="J52" s="24"/>
      <c r="K52" s="24"/>
      <c r="L52" s="24"/>
      <c r="M52" s="24"/>
    </row>
    <row r="53" spans="1:13" ht="14.1" hidden="1" customHeight="1" x14ac:dyDescent="0.2">
      <c r="A53" s="24"/>
      <c r="B53" s="24"/>
      <c r="C53" s="46">
        <f t="shared" si="9"/>
        <v>0</v>
      </c>
      <c r="D53" s="46">
        <f t="shared" si="9"/>
        <v>0</v>
      </c>
      <c r="E53" s="46">
        <f t="shared" si="9"/>
        <v>0</v>
      </c>
      <c r="F53" s="46">
        <f t="shared" si="9"/>
        <v>0</v>
      </c>
      <c r="G53" s="46">
        <f t="shared" si="9"/>
        <v>0</v>
      </c>
      <c r="H53" s="46">
        <f t="shared" si="10"/>
        <v>0</v>
      </c>
      <c r="I53" s="24"/>
      <c r="J53" s="24"/>
      <c r="K53" s="24"/>
      <c r="L53" s="24"/>
      <c r="M53" s="24"/>
    </row>
    <row r="54" spans="1:13" ht="14.1" hidden="1" customHeight="1" x14ac:dyDescent="0.2">
      <c r="A54" s="24"/>
      <c r="B54" s="24"/>
      <c r="C54" s="46">
        <f t="shared" si="9"/>
        <v>0</v>
      </c>
      <c r="D54" s="46">
        <f t="shared" si="9"/>
        <v>0</v>
      </c>
      <c r="E54" s="46">
        <f t="shared" si="9"/>
        <v>0</v>
      </c>
      <c r="F54" s="46">
        <f t="shared" si="9"/>
        <v>0</v>
      </c>
      <c r="G54" s="46">
        <f t="shared" si="9"/>
        <v>0</v>
      </c>
      <c r="H54" s="46">
        <f t="shared" si="10"/>
        <v>0</v>
      </c>
      <c r="I54" s="24"/>
      <c r="J54" s="24"/>
      <c r="K54" s="24"/>
      <c r="L54" s="24"/>
      <c r="M54" s="24"/>
    </row>
    <row r="55" spans="1:13" ht="14.1" hidden="1" customHeight="1" x14ac:dyDescent="0.2">
      <c r="A55" s="24"/>
      <c r="B55" s="24"/>
      <c r="C55" s="46">
        <f t="shared" si="9"/>
        <v>0</v>
      </c>
      <c r="D55" s="46">
        <f t="shared" si="9"/>
        <v>0</v>
      </c>
      <c r="E55" s="46">
        <f t="shared" si="9"/>
        <v>0</v>
      </c>
      <c r="F55" s="46">
        <f t="shared" si="9"/>
        <v>0</v>
      </c>
      <c r="G55" s="46">
        <f t="shared" si="9"/>
        <v>0</v>
      </c>
      <c r="H55" s="46">
        <f t="shared" si="10"/>
        <v>0</v>
      </c>
      <c r="I55" s="24"/>
      <c r="J55" s="24"/>
      <c r="K55" s="24"/>
      <c r="L55" s="24"/>
      <c r="M55" s="24"/>
    </row>
    <row r="56" spans="1:13" ht="14.1" hidden="1" customHeight="1" x14ac:dyDescent="0.2">
      <c r="A56" s="24"/>
      <c r="B56" s="24"/>
      <c r="C56" s="46">
        <f t="shared" si="9"/>
        <v>0</v>
      </c>
      <c r="D56" s="46">
        <f t="shared" si="9"/>
        <v>0</v>
      </c>
      <c r="E56" s="46">
        <f t="shared" si="9"/>
        <v>0</v>
      </c>
      <c r="F56" s="46">
        <f t="shared" si="9"/>
        <v>0</v>
      </c>
      <c r="G56" s="46">
        <f t="shared" si="9"/>
        <v>0</v>
      </c>
      <c r="H56" s="46">
        <f t="shared" si="10"/>
        <v>0</v>
      </c>
      <c r="I56" s="24"/>
      <c r="J56" s="24"/>
      <c r="K56" s="24"/>
      <c r="L56" s="24"/>
      <c r="M56" s="24"/>
    </row>
    <row r="57" spans="1:13" ht="14.1" hidden="1" customHeight="1" x14ac:dyDescent="0.2">
      <c r="A57" s="24"/>
      <c r="B57" s="24"/>
      <c r="C57" s="46">
        <f t="shared" ref="C57:G58" si="11">C$8*$A18*C18</f>
        <v>0</v>
      </c>
      <c r="D57" s="46">
        <f t="shared" si="11"/>
        <v>0</v>
      </c>
      <c r="E57" s="46">
        <f t="shared" si="11"/>
        <v>0</v>
      </c>
      <c r="F57" s="46">
        <f t="shared" si="11"/>
        <v>0</v>
      </c>
      <c r="G57" s="46">
        <f t="shared" si="11"/>
        <v>0</v>
      </c>
      <c r="H57" s="46">
        <f t="shared" si="10"/>
        <v>0</v>
      </c>
      <c r="I57" s="24"/>
      <c r="J57" s="24"/>
      <c r="K57" s="24"/>
      <c r="L57" s="24"/>
      <c r="M57" s="24"/>
    </row>
    <row r="58" spans="1:13" ht="14.1" hidden="1" customHeight="1" x14ac:dyDescent="0.2">
      <c r="A58" s="24"/>
      <c r="B58" s="24"/>
      <c r="C58" s="46">
        <f t="shared" si="11"/>
        <v>0</v>
      </c>
      <c r="D58" s="46">
        <f t="shared" si="11"/>
        <v>0</v>
      </c>
      <c r="E58" s="46">
        <f t="shared" si="11"/>
        <v>0</v>
      </c>
      <c r="F58" s="46">
        <f t="shared" si="11"/>
        <v>0</v>
      </c>
      <c r="G58" s="46">
        <f t="shared" si="11"/>
        <v>0</v>
      </c>
      <c r="H58" s="46">
        <f t="shared" si="10"/>
        <v>0</v>
      </c>
      <c r="I58" s="24"/>
      <c r="J58" s="24"/>
      <c r="K58" s="24"/>
      <c r="L58" s="24"/>
      <c r="M58" s="24"/>
    </row>
    <row r="59" spans="1:13" ht="14.1" hidden="1" customHeight="1" x14ac:dyDescent="0.2">
      <c r="A59" s="24"/>
      <c r="B59" s="24"/>
      <c r="C59" s="46"/>
      <c r="D59" s="46"/>
      <c r="E59" s="46"/>
      <c r="F59" s="46"/>
      <c r="G59" s="46"/>
      <c r="H59" s="46">
        <f>SUM(H49:H58)</f>
        <v>2181</v>
      </c>
      <c r="I59" s="24"/>
      <c r="J59" s="24"/>
      <c r="K59" s="24"/>
      <c r="L59" s="24"/>
      <c r="M59" s="24"/>
    </row>
    <row r="60" spans="1:13" ht="14.1" customHeight="1" x14ac:dyDescent="0.2">
      <c r="A60" s="24"/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</row>
    <row r="61" spans="1:13" ht="14.1" customHeight="1" x14ac:dyDescent="0.2">
      <c r="A61" s="471"/>
      <c r="B61" s="473"/>
      <c r="C61" s="26" t="s">
        <v>15</v>
      </c>
      <c r="D61" s="28" t="s">
        <v>52</v>
      </c>
      <c r="E61" s="29" t="s">
        <v>29</v>
      </c>
      <c r="F61" s="24"/>
      <c r="G61" s="40"/>
      <c r="H61" s="24"/>
      <c r="I61" s="24"/>
      <c r="J61" s="24"/>
      <c r="K61" s="24"/>
      <c r="L61" s="24"/>
      <c r="M61" s="24"/>
    </row>
    <row r="62" spans="1:13" ht="14.1" customHeight="1" x14ac:dyDescent="0.2">
      <c r="A62" s="513" t="s">
        <v>96</v>
      </c>
      <c r="B62" s="515"/>
      <c r="C62" s="119">
        <f>H47</f>
        <v>8.6751836119945089</v>
      </c>
      <c r="D62" s="120">
        <f>(J20-1)*(H22-1)</f>
        <v>2</v>
      </c>
      <c r="E62" s="121">
        <f>CHIDIST(C62,D62)</f>
        <v>1.3067960524847119E-2</v>
      </c>
      <c r="F62" s="24"/>
      <c r="G62" s="24"/>
      <c r="H62" s="24"/>
      <c r="I62" s="24"/>
      <c r="J62" s="24"/>
      <c r="K62" s="24"/>
      <c r="L62" s="24"/>
      <c r="M62" s="24"/>
    </row>
    <row r="63" spans="1:13" ht="14.1" customHeight="1" x14ac:dyDescent="0.2">
      <c r="A63" s="513" t="s">
        <v>97</v>
      </c>
      <c r="B63" s="515"/>
      <c r="C63" s="122">
        <f>H20*((H59-H23*K20/H20)^2)/((L20-K20^2/H20)*(H24-H23^2/H20))</f>
        <v>8.4980191249406083</v>
      </c>
      <c r="D63" s="120">
        <f>IF(D62&gt;1,1,"")</f>
        <v>1</v>
      </c>
      <c r="E63" s="121">
        <f>IF(D62&gt;1,CHIDIST(C63,D63),"")</f>
        <v>3.5553333427574157E-3</v>
      </c>
      <c r="F63" s="513" t="s">
        <v>101</v>
      </c>
      <c r="G63" s="514"/>
      <c r="H63" s="514"/>
      <c r="I63" s="24"/>
      <c r="J63" s="24"/>
      <c r="K63" s="24"/>
      <c r="L63" s="24"/>
      <c r="M63" s="24"/>
    </row>
    <row r="64" spans="1:13" ht="14.1" customHeight="1" x14ac:dyDescent="0.2">
      <c r="A64" s="511" t="s">
        <v>90</v>
      </c>
      <c r="B64" s="512"/>
      <c r="C64" s="123">
        <f>C62-C63</f>
        <v>0.17716448705390064</v>
      </c>
      <c r="D64" s="124">
        <f>IF(D62&gt;1,D62-1,"")</f>
        <v>1</v>
      </c>
      <c r="E64" s="56">
        <f>IF(D62&gt;1,CHIDIST(C64,D64),"")</f>
        <v>0.67382144557622325</v>
      </c>
      <c r="F64" s="125" t="s">
        <v>100</v>
      </c>
      <c r="G64" s="126"/>
      <c r="H64" s="126"/>
      <c r="I64" s="24"/>
      <c r="J64" s="24"/>
      <c r="K64" s="24"/>
      <c r="L64" s="24"/>
      <c r="M64" s="24"/>
    </row>
    <row r="65" spans="1:13" ht="14.1" customHeight="1" x14ac:dyDescent="0.2">
      <c r="A65" s="24"/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</row>
    <row r="66" spans="1:13" ht="14.1" customHeight="1" x14ac:dyDescent="0.2">
      <c r="A66" s="24"/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</row>
    <row r="67" spans="1:13" ht="14.1" customHeight="1" x14ac:dyDescent="0.2">
      <c r="A67" s="24" t="s">
        <v>184</v>
      </c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</row>
    <row r="68" spans="1:13" ht="14.1" customHeight="1" x14ac:dyDescent="0.2">
      <c r="A68" s="24" t="s">
        <v>99</v>
      </c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</row>
    <row r="69" spans="1:13" ht="14.1" customHeight="1" x14ac:dyDescent="0.2">
      <c r="A69" s="24"/>
      <c r="B69" s="24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</row>
  </sheetData>
  <sheetProtection sheet="1" objects="1" scenarios="1" formatCells="0" formatColumns="0"/>
  <mergeCells count="9">
    <mergeCell ref="H1:H2"/>
    <mergeCell ref="A64:B64"/>
    <mergeCell ref="F63:H63"/>
    <mergeCell ref="A61:B61"/>
    <mergeCell ref="A62:B62"/>
    <mergeCell ref="A63:B63"/>
    <mergeCell ref="A5:G5"/>
    <mergeCell ref="A6:G6"/>
    <mergeCell ref="A8:A9"/>
  </mergeCells>
  <phoneticPr fontId="9" type="noConversion"/>
  <hyperlinks>
    <hyperlink ref="H1:H2" location="Start!A1" display="Start"/>
  </hyperlinks>
  <pageMargins left="0.75" right="0.75" top="1" bottom="1" header="0" footer="0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J63"/>
  <sheetViews>
    <sheetView topLeftCell="A5" workbookViewId="0">
      <selection activeCell="I23" sqref="I23"/>
    </sheetView>
  </sheetViews>
  <sheetFormatPr defaultRowHeight="12.75" x14ac:dyDescent="0.2"/>
  <cols>
    <col min="1" max="9" width="8.7109375" customWidth="1"/>
    <col min="10" max="10" width="9.140625" hidden="1" customWidth="1"/>
  </cols>
  <sheetData>
    <row r="1" spans="1:9" ht="12" customHeight="1" x14ac:dyDescent="0.2">
      <c r="A1" s="7" t="s">
        <v>158</v>
      </c>
      <c r="B1" s="7"/>
      <c r="C1" s="494" t="s">
        <v>159</v>
      </c>
      <c r="D1" s="494"/>
      <c r="E1" s="494"/>
      <c r="F1" s="494"/>
      <c r="G1" s="494"/>
      <c r="H1" s="234" t="str">
        <f>IF(F1="","",1/(F1^2))</f>
        <v/>
      </c>
      <c r="I1" s="475" t="s">
        <v>186</v>
      </c>
    </row>
    <row r="2" spans="1:9" ht="12" customHeight="1" x14ac:dyDescent="0.2">
      <c r="A2" s="7"/>
      <c r="B2" s="7"/>
      <c r="I2" s="476"/>
    </row>
    <row r="3" spans="1:9" ht="12" customHeight="1" x14ac:dyDescent="0.2">
      <c r="A3" s="24"/>
      <c r="B3" s="24"/>
      <c r="C3" s="24"/>
      <c r="D3" s="24"/>
      <c r="E3" s="24"/>
      <c r="F3" s="24"/>
      <c r="G3" s="24"/>
      <c r="H3" s="24"/>
      <c r="I3" s="24"/>
    </row>
    <row r="4" spans="1:9" ht="12" customHeight="1" x14ac:dyDescent="0.2">
      <c r="A4" s="497" t="s">
        <v>268</v>
      </c>
      <c r="B4" s="498"/>
      <c r="C4" s="498"/>
      <c r="D4" s="498"/>
      <c r="E4" s="498"/>
      <c r="F4" s="498"/>
      <c r="G4" s="499"/>
      <c r="H4" s="24"/>
      <c r="I4" s="24"/>
    </row>
    <row r="5" spans="1:9" ht="12" customHeight="1" x14ac:dyDescent="0.2">
      <c r="A5" s="500" t="s">
        <v>132</v>
      </c>
      <c r="B5" s="501"/>
      <c r="C5" s="501"/>
      <c r="D5" s="501"/>
      <c r="E5" s="501"/>
      <c r="F5" s="501"/>
      <c r="G5" s="502"/>
      <c r="H5" s="24"/>
      <c r="I5" s="24"/>
    </row>
    <row r="6" spans="1:9" ht="12" customHeight="1" x14ac:dyDescent="0.2">
      <c r="A6" s="171" t="s">
        <v>171</v>
      </c>
      <c r="B6" s="204"/>
      <c r="C6" s="204"/>
      <c r="D6" s="46"/>
      <c r="E6" s="180"/>
      <c r="F6" s="180"/>
      <c r="G6" s="180" t="str">
        <f>IF(E4="","",E4+1.96*F4)</f>
        <v/>
      </c>
      <c r="H6" s="24"/>
      <c r="I6" s="24"/>
    </row>
    <row r="7" spans="1:9" ht="12" customHeight="1" x14ac:dyDescent="0.2">
      <c r="A7" s="356">
        <v>1</v>
      </c>
      <c r="B7" s="523" t="s">
        <v>226</v>
      </c>
      <c r="C7" s="524"/>
      <c r="D7" s="524"/>
      <c r="E7" s="524"/>
      <c r="F7" s="524"/>
      <c r="G7" s="525"/>
      <c r="H7" s="24"/>
      <c r="I7" s="24"/>
    </row>
    <row r="8" spans="1:9" ht="12" customHeight="1" x14ac:dyDescent="0.2">
      <c r="A8" s="58" t="s">
        <v>125</v>
      </c>
      <c r="B8" s="347" t="s">
        <v>1</v>
      </c>
      <c r="C8" s="348" t="s">
        <v>2</v>
      </c>
      <c r="D8" s="142" t="s">
        <v>54</v>
      </c>
      <c r="E8" s="175" t="s">
        <v>7</v>
      </c>
      <c r="F8" s="175" t="s">
        <v>4</v>
      </c>
      <c r="G8" s="175" t="s">
        <v>5</v>
      </c>
      <c r="H8" s="369" t="s">
        <v>8</v>
      </c>
      <c r="I8" s="369" t="s">
        <v>20</v>
      </c>
    </row>
    <row r="9" spans="1:9" ht="12" customHeight="1" x14ac:dyDescent="0.2">
      <c r="A9" s="344" t="s">
        <v>0</v>
      </c>
      <c r="B9" s="153">
        <v>8</v>
      </c>
      <c r="C9" s="154">
        <v>98</v>
      </c>
      <c r="D9" s="346">
        <f>SUM(B9:C9)</f>
        <v>106</v>
      </c>
      <c r="E9" s="140">
        <f>IF(D11=0,"",B9*D10/D9/B10)</f>
        <v>1.8113207547169812</v>
      </c>
      <c r="F9" s="140"/>
      <c r="G9" s="140">
        <f>IF(G11="","",EXP(G11))</f>
        <v>0.6111921939697097</v>
      </c>
      <c r="H9" s="24"/>
      <c r="I9" s="24"/>
    </row>
    <row r="10" spans="1:9" ht="12" customHeight="1" x14ac:dyDescent="0.2">
      <c r="A10" s="345">
        <v>0</v>
      </c>
      <c r="B10" s="160">
        <v>5</v>
      </c>
      <c r="C10" s="161">
        <v>115</v>
      </c>
      <c r="D10" s="271">
        <f>SUM(B10:C10)</f>
        <v>120</v>
      </c>
      <c r="E10" s="140"/>
      <c r="F10" s="140"/>
      <c r="G10" s="140">
        <f>IF(G12="","",EXP(G12))</f>
        <v>5.3680052017010746</v>
      </c>
      <c r="H10" s="24"/>
      <c r="I10" s="24"/>
    </row>
    <row r="11" spans="1:9" ht="12" customHeight="1" x14ac:dyDescent="0.2">
      <c r="A11" s="34" t="s">
        <v>54</v>
      </c>
      <c r="B11" s="349">
        <f>SUM(B9:B10)</f>
        <v>13</v>
      </c>
      <c r="C11" s="350">
        <f>SUM(C9:C10)</f>
        <v>213</v>
      </c>
      <c r="D11" s="300">
        <f>SUM(B11:C11)</f>
        <v>226</v>
      </c>
      <c r="E11" s="234">
        <f>IF(E9="","",LN(E9))</f>
        <v>0.59405627791571447</v>
      </c>
      <c r="F11" s="234">
        <f>IF(D11=0,"",SQRT(1/B9+1/B10-1/D9-1/D10))</f>
        <v>0.5542857605987328</v>
      </c>
      <c r="G11" s="234">
        <f>IF(E11="","",E11-1.96*F11)</f>
        <v>-0.49234381285780182</v>
      </c>
      <c r="H11" s="234">
        <f>IF(F11="","",1/(F11^2))</f>
        <v>3.2548618219037873</v>
      </c>
      <c r="I11" s="234">
        <f>IF(E11="","",E11*H11)</f>
        <v>1.9335710990501249</v>
      </c>
    </row>
    <row r="12" spans="1:9" ht="12" customHeight="1" x14ac:dyDescent="0.2">
      <c r="A12" s="203"/>
      <c r="B12" s="204"/>
      <c r="C12" s="204"/>
      <c r="D12" s="44"/>
      <c r="E12" s="234"/>
      <c r="F12" s="234"/>
      <c r="G12" s="234">
        <f>IF(E11="","",E11+1.96*F11)</f>
        <v>1.6804563686892307</v>
      </c>
      <c r="H12" s="234"/>
      <c r="I12" s="234"/>
    </row>
    <row r="13" spans="1:9" ht="12" customHeight="1" x14ac:dyDescent="0.2">
      <c r="A13" s="356">
        <v>2</v>
      </c>
      <c r="B13" s="523"/>
      <c r="C13" s="524"/>
      <c r="D13" s="524"/>
      <c r="E13" s="524"/>
      <c r="F13" s="524"/>
      <c r="G13" s="525"/>
      <c r="H13" s="24"/>
      <c r="I13" s="24"/>
    </row>
    <row r="14" spans="1:9" ht="12" customHeight="1" x14ac:dyDescent="0.2">
      <c r="A14" s="58" t="s">
        <v>125</v>
      </c>
      <c r="B14" s="347" t="s">
        <v>1</v>
      </c>
      <c r="C14" s="348" t="s">
        <v>2</v>
      </c>
      <c r="D14" s="142" t="s">
        <v>54</v>
      </c>
      <c r="E14" s="175" t="s">
        <v>7</v>
      </c>
      <c r="F14" s="175" t="s">
        <v>4</v>
      </c>
      <c r="G14" s="175" t="s">
        <v>5</v>
      </c>
      <c r="H14" s="175"/>
      <c r="I14" s="175"/>
    </row>
    <row r="15" spans="1:9" ht="12" customHeight="1" x14ac:dyDescent="0.2">
      <c r="A15" s="344" t="s">
        <v>0</v>
      </c>
      <c r="B15" s="153">
        <v>22</v>
      </c>
      <c r="C15" s="154">
        <v>76</v>
      </c>
      <c r="D15" s="346">
        <f>SUM(B15:C15)</f>
        <v>98</v>
      </c>
      <c r="E15" s="140">
        <f>IF(D17=0,"",B15*D16/D15/B16)</f>
        <v>1.1926020408163265</v>
      </c>
      <c r="F15" s="140"/>
      <c r="G15" s="140">
        <f>IF(G17="","",EXP(G17))</f>
        <v>0.67125933613538424</v>
      </c>
      <c r="H15" s="24"/>
      <c r="I15" s="24"/>
    </row>
    <row r="16" spans="1:9" ht="12" customHeight="1" x14ac:dyDescent="0.2">
      <c r="A16" s="345">
        <v>0</v>
      </c>
      <c r="B16" s="160">
        <v>16</v>
      </c>
      <c r="C16" s="161">
        <v>69</v>
      </c>
      <c r="D16" s="271">
        <f>SUM(B16:C16)</f>
        <v>85</v>
      </c>
      <c r="E16" s="140"/>
      <c r="F16" s="140"/>
      <c r="G16" s="140">
        <f>IF(G18="","",EXP(G18))</f>
        <v>2.1188526567806392</v>
      </c>
      <c r="H16" s="24"/>
      <c r="I16" s="24"/>
    </row>
    <row r="17" spans="1:9" ht="12" customHeight="1" x14ac:dyDescent="0.2">
      <c r="A17" s="34" t="s">
        <v>54</v>
      </c>
      <c r="B17" s="349">
        <f>SUM(B15:B16)</f>
        <v>38</v>
      </c>
      <c r="C17" s="350">
        <f>SUM(C15:C16)</f>
        <v>145</v>
      </c>
      <c r="D17" s="300">
        <f>SUM(B17:C17)</f>
        <v>183</v>
      </c>
      <c r="E17" s="234">
        <f>IF(E15="","",LN(E15))</f>
        <v>0.17613750893827912</v>
      </c>
      <c r="F17" s="234">
        <f>IF(D17=0,"",SQRT(1/B15+1/B16-1/D15-1/D16))</f>
        <v>0.29323328245535063</v>
      </c>
      <c r="G17" s="234">
        <f>IF(E17="","",E17-1.96*F17)</f>
        <v>-0.39859972467420807</v>
      </c>
      <c r="H17" s="234">
        <f>IF(F17="","",1/(F17^2))</f>
        <v>11.629832939347306</v>
      </c>
      <c r="I17" s="234">
        <f>IF(E17="","",E17*H17)</f>
        <v>2.0484498033049792</v>
      </c>
    </row>
    <row r="18" spans="1:9" ht="12" customHeight="1" x14ac:dyDescent="0.2">
      <c r="A18" s="203"/>
      <c r="B18" s="204"/>
      <c r="C18" s="204"/>
      <c r="D18" s="44"/>
      <c r="E18" s="234"/>
      <c r="F18" s="234"/>
      <c r="G18" s="234">
        <f>IF(E17="","",E17+1.96*F17)</f>
        <v>0.75087474255076625</v>
      </c>
      <c r="H18" s="234"/>
      <c r="I18" s="234"/>
    </row>
    <row r="19" spans="1:9" ht="12" customHeight="1" x14ac:dyDescent="0.2">
      <c r="A19" s="356">
        <v>3</v>
      </c>
      <c r="B19" s="523"/>
      <c r="C19" s="524"/>
      <c r="D19" s="524"/>
      <c r="E19" s="524"/>
      <c r="F19" s="524"/>
      <c r="G19" s="525"/>
      <c r="H19" s="24"/>
      <c r="I19" s="24"/>
    </row>
    <row r="20" spans="1:9" ht="12" customHeight="1" x14ac:dyDescent="0.2">
      <c r="A20" s="58" t="s">
        <v>125</v>
      </c>
      <c r="B20" s="347" t="s">
        <v>1</v>
      </c>
      <c r="C20" s="348" t="s">
        <v>2</v>
      </c>
      <c r="D20" s="142" t="s">
        <v>54</v>
      </c>
      <c r="E20" s="175" t="s">
        <v>7</v>
      </c>
      <c r="F20" s="175" t="s">
        <v>4</v>
      </c>
      <c r="G20" s="175" t="s">
        <v>5</v>
      </c>
      <c r="H20" s="175"/>
      <c r="I20" s="175"/>
    </row>
    <row r="21" spans="1:9" ht="12" customHeight="1" x14ac:dyDescent="0.2">
      <c r="A21" s="344" t="s">
        <v>0</v>
      </c>
      <c r="B21" s="153"/>
      <c r="C21" s="154"/>
      <c r="D21" s="346">
        <f>SUM(B21:C21)</f>
        <v>0</v>
      </c>
      <c r="E21" s="140" t="str">
        <f>IF(D23=0,"",B21*D22/D21/B22)</f>
        <v/>
      </c>
      <c r="F21" s="140"/>
      <c r="G21" s="140" t="str">
        <f>IF(G23="","",EXP(G23))</f>
        <v/>
      </c>
      <c r="H21" s="24"/>
      <c r="I21" s="24"/>
    </row>
    <row r="22" spans="1:9" ht="12" customHeight="1" x14ac:dyDescent="0.2">
      <c r="A22" s="345">
        <v>0</v>
      </c>
      <c r="B22" s="160"/>
      <c r="C22" s="161"/>
      <c r="D22" s="271">
        <f>SUM(B22:C22)</f>
        <v>0</v>
      </c>
      <c r="E22" s="140"/>
      <c r="F22" s="140"/>
      <c r="G22" s="140" t="str">
        <f>IF(G24="","",EXP(G24))</f>
        <v/>
      </c>
      <c r="H22" s="24"/>
      <c r="I22" s="24"/>
    </row>
    <row r="23" spans="1:9" ht="12" customHeight="1" x14ac:dyDescent="0.2">
      <c r="A23" s="34" t="s">
        <v>54</v>
      </c>
      <c r="B23" s="349">
        <f>SUM(B21:B22)</f>
        <v>0</v>
      </c>
      <c r="C23" s="350">
        <f>SUM(C21:C22)</f>
        <v>0</v>
      </c>
      <c r="D23" s="300">
        <f>SUM(B23:C23)</f>
        <v>0</v>
      </c>
      <c r="E23" s="234" t="str">
        <f>IF(E21="","",LN(E21))</f>
        <v/>
      </c>
      <c r="F23" s="234" t="str">
        <f>IF(D23=0,"",SQRT(1/B21+1/B22-1/D21-1/D22))</f>
        <v/>
      </c>
      <c r="G23" s="234" t="str">
        <f>IF(E23="","",E23-1.96*F23)</f>
        <v/>
      </c>
      <c r="H23" s="234" t="str">
        <f>IF(F23="","",1/(F23^2))</f>
        <v/>
      </c>
      <c r="I23" s="234" t="str">
        <f>IF(E23="","",E23*H23)</f>
        <v/>
      </c>
    </row>
    <row r="24" spans="1:9" ht="12" customHeight="1" x14ac:dyDescent="0.2">
      <c r="A24" s="203"/>
      <c r="B24" s="204"/>
      <c r="C24" s="204"/>
      <c r="D24" s="44"/>
      <c r="E24" s="234"/>
      <c r="F24" s="234"/>
      <c r="G24" s="234" t="str">
        <f>IF(E23="","",E23+1.96*F23)</f>
        <v/>
      </c>
      <c r="H24" s="234"/>
      <c r="I24" s="234"/>
    </row>
    <row r="25" spans="1:9" ht="12" customHeight="1" x14ac:dyDescent="0.2">
      <c r="A25" s="356">
        <v>4</v>
      </c>
      <c r="B25" s="523"/>
      <c r="C25" s="524"/>
      <c r="D25" s="524"/>
      <c r="E25" s="524"/>
      <c r="F25" s="524"/>
      <c r="G25" s="525"/>
      <c r="H25" s="24"/>
      <c r="I25" s="24"/>
    </row>
    <row r="26" spans="1:9" ht="12" customHeight="1" x14ac:dyDescent="0.2">
      <c r="A26" s="58" t="s">
        <v>125</v>
      </c>
      <c r="B26" s="347" t="s">
        <v>1</v>
      </c>
      <c r="C26" s="348" t="s">
        <v>2</v>
      </c>
      <c r="D26" s="142" t="s">
        <v>54</v>
      </c>
      <c r="E26" s="175" t="s">
        <v>7</v>
      </c>
      <c r="F26" s="175" t="s">
        <v>4</v>
      </c>
      <c r="G26" s="175" t="s">
        <v>5</v>
      </c>
      <c r="H26" s="175"/>
      <c r="I26" s="175"/>
    </row>
    <row r="27" spans="1:9" ht="12" customHeight="1" x14ac:dyDescent="0.2">
      <c r="A27" s="344" t="s">
        <v>0</v>
      </c>
      <c r="B27" s="153"/>
      <c r="C27" s="154"/>
      <c r="D27" s="346">
        <f>SUM(B27:C27)</f>
        <v>0</v>
      </c>
      <c r="E27" s="140" t="str">
        <f>IF(D29=0,"",B27*D28/D27/B28)</f>
        <v/>
      </c>
      <c r="F27" s="140"/>
      <c r="G27" s="140" t="str">
        <f>IF(G29="","",EXP(G29))</f>
        <v/>
      </c>
      <c r="H27" s="24"/>
      <c r="I27" s="24"/>
    </row>
    <row r="28" spans="1:9" ht="12" customHeight="1" x14ac:dyDescent="0.2">
      <c r="A28" s="345">
        <v>0</v>
      </c>
      <c r="B28" s="160"/>
      <c r="C28" s="161"/>
      <c r="D28" s="271">
        <f>SUM(B28:C28)</f>
        <v>0</v>
      </c>
      <c r="E28" s="140"/>
      <c r="F28" s="140"/>
      <c r="G28" s="140" t="str">
        <f>IF(G30="","",EXP(G30))</f>
        <v/>
      </c>
      <c r="H28" s="24"/>
      <c r="I28" s="24"/>
    </row>
    <row r="29" spans="1:9" ht="12" customHeight="1" x14ac:dyDescent="0.2">
      <c r="A29" s="34" t="s">
        <v>54</v>
      </c>
      <c r="B29" s="349">
        <f>SUM(B27:B28)</f>
        <v>0</v>
      </c>
      <c r="C29" s="350">
        <f>SUM(C27:C28)</f>
        <v>0</v>
      </c>
      <c r="D29" s="300">
        <f>SUM(B29:C29)</f>
        <v>0</v>
      </c>
      <c r="E29" s="234" t="str">
        <f>IF(E27="","",LN(E27))</f>
        <v/>
      </c>
      <c r="F29" s="234" t="str">
        <f>IF(D29=0,"",SQRT(1/B27+1/B28-1/D27-1/D28))</f>
        <v/>
      </c>
      <c r="G29" s="234" t="str">
        <f>IF(E29="","",E29-1.96*F29)</f>
        <v/>
      </c>
      <c r="H29" s="234" t="str">
        <f>IF(F29="","",1/(F29^2))</f>
        <v/>
      </c>
      <c r="I29" s="234" t="str">
        <f>IF(E29="","",E29*H29)</f>
        <v/>
      </c>
    </row>
    <row r="30" spans="1:9" ht="12" customHeight="1" x14ac:dyDescent="0.2">
      <c r="A30" s="203"/>
      <c r="B30" s="204"/>
      <c r="C30" s="204"/>
      <c r="D30" s="44"/>
      <c r="E30" s="234"/>
      <c r="F30" s="234"/>
      <c r="G30" s="234" t="str">
        <f>IF(E29="","",E29+1.96*F29)</f>
        <v/>
      </c>
      <c r="H30" s="234"/>
      <c r="I30" s="234"/>
    </row>
    <row r="31" spans="1:9" ht="12" customHeight="1" x14ac:dyDescent="0.2">
      <c r="A31" s="356">
        <v>5</v>
      </c>
      <c r="B31" s="523"/>
      <c r="C31" s="524"/>
      <c r="D31" s="524"/>
      <c r="E31" s="524"/>
      <c r="F31" s="524"/>
      <c r="G31" s="525"/>
      <c r="H31" s="24"/>
      <c r="I31" s="24"/>
    </row>
    <row r="32" spans="1:9" ht="12" customHeight="1" x14ac:dyDescent="0.2">
      <c r="A32" s="58" t="s">
        <v>125</v>
      </c>
      <c r="B32" s="347" t="s">
        <v>1</v>
      </c>
      <c r="C32" s="348" t="s">
        <v>2</v>
      </c>
      <c r="D32" s="142" t="s">
        <v>54</v>
      </c>
      <c r="E32" s="175" t="s">
        <v>7</v>
      </c>
      <c r="F32" s="175" t="s">
        <v>4</v>
      </c>
      <c r="G32" s="175" t="s">
        <v>5</v>
      </c>
      <c r="H32" s="175"/>
      <c r="I32" s="175"/>
    </row>
    <row r="33" spans="1:10" ht="12" customHeight="1" x14ac:dyDescent="0.2">
      <c r="A33" s="344" t="s">
        <v>0</v>
      </c>
      <c r="B33" s="153"/>
      <c r="C33" s="154"/>
      <c r="D33" s="346">
        <f>SUM(B33:C33)</f>
        <v>0</v>
      </c>
      <c r="E33" s="140" t="str">
        <f>IF(D35=0,"",B33*D34/D33/B34)</f>
        <v/>
      </c>
      <c r="F33" s="140"/>
      <c r="G33" s="140" t="str">
        <f>IF(G35="","",EXP(G35))</f>
        <v/>
      </c>
      <c r="H33" s="24"/>
      <c r="I33" s="24"/>
    </row>
    <row r="34" spans="1:10" ht="12" customHeight="1" x14ac:dyDescent="0.2">
      <c r="A34" s="345">
        <v>0</v>
      </c>
      <c r="B34" s="160"/>
      <c r="C34" s="161"/>
      <c r="D34" s="271">
        <f>SUM(B34:C34)</f>
        <v>0</v>
      </c>
      <c r="E34" s="140"/>
      <c r="F34" s="140"/>
      <c r="G34" s="140" t="str">
        <f>IF(G37="","",EXP(G37))</f>
        <v/>
      </c>
      <c r="H34" s="24"/>
      <c r="I34" s="24"/>
    </row>
    <row r="35" spans="1:10" ht="12" customHeight="1" x14ac:dyDescent="0.2">
      <c r="A35" s="34" t="s">
        <v>54</v>
      </c>
      <c r="B35" s="349">
        <f>SUM(B33:B34)</f>
        <v>0</v>
      </c>
      <c r="C35" s="350">
        <f>SUM(C33:C34)</f>
        <v>0</v>
      </c>
      <c r="D35" s="300">
        <f>SUM(B35:C35)</f>
        <v>0</v>
      </c>
      <c r="E35" s="234" t="str">
        <f>IF(E33="","",LN(E33))</f>
        <v/>
      </c>
      <c r="F35" s="234" t="str">
        <f>IF(D35=0,"",SQRT(1/B33+1/B34-1/D33-1/D34))</f>
        <v/>
      </c>
      <c r="G35" s="234" t="str">
        <f>IF(E35="","",E35-1.96*F35)</f>
        <v/>
      </c>
      <c r="H35" s="234" t="str">
        <f>IF(F35="","",1/(F35^2))</f>
        <v/>
      </c>
      <c r="I35" s="234" t="str">
        <f>IF(E35="","",E35*H35)</f>
        <v/>
      </c>
    </row>
    <row r="36" spans="1:10" ht="12" customHeight="1" x14ac:dyDescent="0.2">
      <c r="A36" s="49"/>
      <c r="B36" s="49"/>
      <c r="C36" s="49"/>
      <c r="D36" s="49"/>
      <c r="E36" s="234"/>
      <c r="F36" s="234"/>
      <c r="G36" s="234"/>
      <c r="H36" s="234"/>
      <c r="I36" s="234"/>
    </row>
    <row r="37" spans="1:10" ht="12" customHeight="1" x14ac:dyDescent="0.2">
      <c r="A37" s="205" t="s">
        <v>185</v>
      </c>
      <c r="B37" s="204"/>
      <c r="C37" s="204"/>
      <c r="D37" s="44"/>
      <c r="E37" s="234"/>
      <c r="F37" s="234"/>
      <c r="G37" s="234" t="str">
        <f>IF(E35="","",E35+1.96*F35)</f>
        <v/>
      </c>
      <c r="H37" s="234"/>
      <c r="I37" s="234"/>
    </row>
    <row r="38" spans="1:10" ht="12" customHeight="1" x14ac:dyDescent="0.2">
      <c r="B38" s="208"/>
      <c r="C38" s="208"/>
      <c r="D38" s="235"/>
      <c r="E38" s="236" t="s">
        <v>7</v>
      </c>
      <c r="F38" s="237" t="s">
        <v>4</v>
      </c>
      <c r="G38" s="238" t="s">
        <v>5</v>
      </c>
    </row>
    <row r="39" spans="1:10" ht="12" customHeight="1" x14ac:dyDescent="0.2">
      <c r="A39" s="211"/>
      <c r="B39" s="40"/>
      <c r="C39" s="69"/>
      <c r="D39" s="40"/>
      <c r="E39" s="240">
        <f>EXP(E41)</f>
        <v>1.3067256774681171</v>
      </c>
      <c r="F39" s="241"/>
      <c r="G39" s="242">
        <f>EXP(G41)</f>
        <v>0.78623333393565698</v>
      </c>
      <c r="J39">
        <f>SUMIF(I11:I35,"&gt;0")</f>
        <v>3.9820209023551039</v>
      </c>
    </row>
    <row r="40" spans="1:10" ht="12" customHeight="1" x14ac:dyDescent="0.2">
      <c r="A40" s="239"/>
      <c r="B40" s="211"/>
      <c r="C40" s="40"/>
      <c r="D40" s="40"/>
      <c r="E40" s="123"/>
      <c r="F40" s="176"/>
      <c r="G40" s="212">
        <f>EXP(G42)</f>
        <v>2.1717878426841781</v>
      </c>
      <c r="H40" s="24"/>
      <c r="I40" s="24"/>
      <c r="J40">
        <f>SUMIF(I11:I35,"&lt;0")</f>
        <v>0</v>
      </c>
    </row>
    <row r="41" spans="1:10" ht="12" customHeight="1" x14ac:dyDescent="0.2">
      <c r="A41" s="94"/>
      <c r="B41" s="69"/>
      <c r="C41" s="44"/>
      <c r="D41" s="44"/>
      <c r="E41" s="180">
        <f>I41/H41</f>
        <v>0.26752452544215999</v>
      </c>
      <c r="F41" s="180">
        <f>SQRT(1/H41)</f>
        <v>0.25919703751861706</v>
      </c>
      <c r="G41" s="180">
        <f>E41-1.96*F41</f>
        <v>-0.24050166809432938</v>
      </c>
      <c r="H41" s="180">
        <f>SUMIF(H11:H40,"&gt;0")</f>
        <v>14.884694761251094</v>
      </c>
      <c r="I41" s="180">
        <f>SUM(J39:J40)</f>
        <v>3.9820209023551039</v>
      </c>
    </row>
    <row r="42" spans="1:10" ht="12" customHeight="1" x14ac:dyDescent="0.2">
      <c r="A42" s="94"/>
      <c r="B42" s="69"/>
      <c r="C42" s="44"/>
      <c r="D42" s="44"/>
      <c r="E42" s="180"/>
      <c r="F42" s="180"/>
      <c r="G42" s="180">
        <f>E41+1.96*F41</f>
        <v>0.77555071897864936</v>
      </c>
      <c r="H42" s="180"/>
      <c r="I42" s="180"/>
    </row>
    <row r="43" spans="1:10" ht="12" customHeight="1" x14ac:dyDescent="0.2">
      <c r="A43" s="94"/>
      <c r="B43" s="69"/>
      <c r="C43" s="44"/>
      <c r="D43" s="44"/>
      <c r="E43" s="180"/>
      <c r="F43" s="180"/>
      <c r="G43" s="180"/>
      <c r="H43" s="180"/>
      <c r="I43" s="180"/>
    </row>
    <row r="44" spans="1:10" ht="12" customHeight="1" x14ac:dyDescent="0.2">
      <c r="A44" s="522" t="s">
        <v>217</v>
      </c>
      <c r="B44" s="522"/>
      <c r="C44" s="351">
        <v>1</v>
      </c>
      <c r="D44" s="44" t="s">
        <v>22</v>
      </c>
      <c r="E44" s="184">
        <f>(E41-LN(C44))/F41</f>
        <v>1.0321280212276531</v>
      </c>
      <c r="F44" s="44" t="s">
        <v>119</v>
      </c>
      <c r="G44" s="135">
        <f>2*(1-NORMSDIST(ABS(E44)))</f>
        <v>0.30201214856809644</v>
      </c>
      <c r="H44" s="180"/>
      <c r="I44" s="180"/>
    </row>
    <row r="45" spans="1:10" ht="12" customHeight="1" x14ac:dyDescent="0.2">
      <c r="A45" s="94"/>
      <c r="B45" s="69"/>
      <c r="C45" s="44"/>
      <c r="D45" s="44"/>
      <c r="E45" s="180"/>
      <c r="F45" s="180"/>
      <c r="G45" s="180"/>
      <c r="H45" s="180"/>
      <c r="I45" s="180"/>
    </row>
    <row r="46" spans="1:10" ht="12" customHeight="1" x14ac:dyDescent="0.2">
      <c r="A46" s="94"/>
      <c r="B46" s="69"/>
      <c r="C46" s="44"/>
      <c r="D46" s="44"/>
      <c r="E46" s="180"/>
      <c r="F46" s="180"/>
      <c r="G46" s="180"/>
      <c r="H46" s="180"/>
      <c r="I46" s="180"/>
    </row>
    <row r="47" spans="1:10" ht="12" customHeight="1" x14ac:dyDescent="0.2">
      <c r="A47" s="510" t="s">
        <v>225</v>
      </c>
      <c r="B47" s="510"/>
      <c r="C47" s="510"/>
      <c r="D47" s="510"/>
      <c r="E47" s="180"/>
      <c r="F47" s="180"/>
      <c r="G47" s="180"/>
      <c r="H47" s="180"/>
      <c r="I47" s="180"/>
    </row>
    <row r="48" spans="1:10" ht="12" customHeight="1" x14ac:dyDescent="0.2">
      <c r="A48" s="59" t="s">
        <v>171</v>
      </c>
      <c r="B48" s="60" t="s">
        <v>7</v>
      </c>
      <c r="C48" s="505" t="s">
        <v>18</v>
      </c>
      <c r="D48" s="506"/>
      <c r="E48" s="359" t="s">
        <v>188</v>
      </c>
      <c r="F48" s="180"/>
      <c r="G48" s="180"/>
      <c r="H48" s="180"/>
      <c r="I48" s="180"/>
    </row>
    <row r="49" spans="1:9" ht="12" customHeight="1" x14ac:dyDescent="0.2">
      <c r="A49" s="276">
        <v>2</v>
      </c>
      <c r="B49" s="362">
        <f>CHOOSE(A49,E9,E15,E21,E27,E33,E39)</f>
        <v>1.1926020408163265</v>
      </c>
      <c r="C49" s="185">
        <f>CHOOSE(A49,G9,G15,G21,G27,G33,G39)</f>
        <v>0.67125933613538424</v>
      </c>
      <c r="D49" s="186">
        <f>CHOOSE(A49,G10,G16,G22,G28,G34,G40)</f>
        <v>2.1188526567806392</v>
      </c>
      <c r="E49" s="364">
        <f>CHOOSE(A49,F11,F17,F23,F29,F35,F41)</f>
        <v>0.29323328245535063</v>
      </c>
      <c r="F49" s="357"/>
      <c r="G49" s="180"/>
      <c r="H49" s="180"/>
      <c r="I49" s="180"/>
    </row>
    <row r="50" spans="1:9" ht="12" customHeight="1" x14ac:dyDescent="0.2">
      <c r="A50" s="265">
        <v>1</v>
      </c>
      <c r="B50" s="363">
        <f>CHOOSE(A50,E9,E15,E21,E27,E33,E39)</f>
        <v>1.8113207547169812</v>
      </c>
      <c r="C50" s="187">
        <f>CHOOSE(A50,G9,G15,G21,G27,G33,G39)</f>
        <v>0.6111921939697097</v>
      </c>
      <c r="D50" s="188">
        <f>CHOOSE(A50,G10,G16,G22,G28,G34,G40)</f>
        <v>5.3680052017010746</v>
      </c>
      <c r="E50" s="365">
        <f>CHOOSE(A50,F11,F17,F23,F29,F35,F41)</f>
        <v>0.5542857605987328</v>
      </c>
      <c r="F50" s="357"/>
      <c r="G50" s="180"/>
      <c r="H50" s="180"/>
      <c r="I50" s="180"/>
    </row>
    <row r="51" spans="1:9" ht="12" customHeight="1" x14ac:dyDescent="0.2">
      <c r="A51" s="43" t="s">
        <v>227</v>
      </c>
      <c r="B51" s="177">
        <f>B49/B50</f>
        <v>0.65841571003401356</v>
      </c>
      <c r="C51" s="360">
        <f>EXP(LN(B51)-1.96*E51)</f>
        <v>0.19263104752225524</v>
      </c>
      <c r="D51" s="361">
        <f>EXP(LN(B51)+1.96*E51)</f>
        <v>2.2504744317995229</v>
      </c>
      <c r="E51" s="358">
        <f>SQRT(E49^2+E50^2)</f>
        <v>0.62707133752233901</v>
      </c>
      <c r="F51" s="180"/>
      <c r="G51" s="180"/>
      <c r="H51" s="180"/>
      <c r="I51" s="180"/>
    </row>
    <row r="52" spans="1:9" ht="12" customHeight="1" x14ac:dyDescent="0.2">
      <c r="A52" s="49"/>
      <c r="B52" s="182"/>
      <c r="C52" s="182"/>
      <c r="D52" s="182"/>
      <c r="E52" s="149"/>
      <c r="F52" s="180"/>
      <c r="G52" s="180"/>
      <c r="H52" s="180"/>
      <c r="I52" s="180"/>
    </row>
    <row r="53" spans="1:9" ht="12" customHeight="1" x14ac:dyDescent="0.2">
      <c r="A53" s="522" t="s">
        <v>228</v>
      </c>
      <c r="B53" s="522"/>
      <c r="C53" s="351">
        <v>1</v>
      </c>
      <c r="D53" s="44" t="s">
        <v>22</v>
      </c>
      <c r="E53" s="184">
        <f>(LN(B51)-LN(C53))/E51</f>
        <v>-0.66646128433919571</v>
      </c>
      <c r="F53" s="44" t="s">
        <v>119</v>
      </c>
      <c r="G53" s="135">
        <f>2*(1-NORMSDIST(ABS(E53)))</f>
        <v>0.50511630202637603</v>
      </c>
      <c r="H53" s="180"/>
      <c r="I53" s="180"/>
    </row>
    <row r="54" spans="1:9" ht="12" customHeight="1" x14ac:dyDescent="0.2">
      <c r="A54" s="24"/>
      <c r="B54" s="24"/>
      <c r="C54" s="24"/>
      <c r="D54" s="24"/>
      <c r="E54" s="180"/>
      <c r="F54" s="180"/>
      <c r="G54" s="180"/>
      <c r="H54" s="180"/>
      <c r="I54" s="180"/>
    </row>
    <row r="55" spans="1:9" ht="12" customHeight="1" x14ac:dyDescent="0.2">
      <c r="A55" s="24"/>
      <c r="B55" s="24"/>
      <c r="C55" s="24"/>
      <c r="D55" s="24"/>
      <c r="E55" s="180"/>
      <c r="F55" s="180"/>
      <c r="G55" s="180"/>
      <c r="H55" s="180"/>
      <c r="I55" s="180"/>
    </row>
    <row r="56" spans="1:9" ht="12" customHeight="1" x14ac:dyDescent="0.2">
      <c r="A56" s="25" t="s">
        <v>27</v>
      </c>
      <c r="B56" s="24"/>
      <c r="C56" s="24"/>
      <c r="D56" s="24"/>
      <c r="E56" s="24"/>
      <c r="F56" s="24"/>
      <c r="G56" s="24"/>
      <c r="H56" s="24"/>
      <c r="I56" s="24"/>
    </row>
    <row r="57" spans="1:9" ht="12" customHeight="1" x14ac:dyDescent="0.2">
      <c r="A57" s="58" t="s">
        <v>125</v>
      </c>
      <c r="B57" s="347" t="s">
        <v>1</v>
      </c>
      <c r="C57" s="348" t="s">
        <v>2</v>
      </c>
      <c r="D57" s="142" t="s">
        <v>54</v>
      </c>
      <c r="E57" s="173" t="s">
        <v>7</v>
      </c>
      <c r="F57" s="171" t="s">
        <v>4</v>
      </c>
      <c r="G57" s="174" t="s">
        <v>5</v>
      </c>
    </row>
    <row r="58" spans="1:9" ht="12" customHeight="1" x14ac:dyDescent="0.2">
      <c r="A58" s="344" t="s">
        <v>0</v>
      </c>
      <c r="B58" s="214">
        <f>SUM(B9,B15,B21,B27,B33)</f>
        <v>30</v>
      </c>
      <c r="C58" s="215">
        <f>SUM(C9,C15,C21,C27,C33)</f>
        <v>174</v>
      </c>
      <c r="D58" s="346">
        <f>SUM(B58:C58)</f>
        <v>204</v>
      </c>
      <c r="E58" s="216">
        <f>B58*D59/D58/B59</f>
        <v>1.4355742296918768</v>
      </c>
      <c r="F58" s="155"/>
      <c r="G58" s="210">
        <f>EXP(G60)</f>
        <v>0.85101389687903473</v>
      </c>
    </row>
    <row r="59" spans="1:9" ht="12" customHeight="1" x14ac:dyDescent="0.2">
      <c r="A59" s="345">
        <v>0</v>
      </c>
      <c r="B59" s="217">
        <f>SUM(B10,B16,B22,B28,B34)</f>
        <v>21</v>
      </c>
      <c r="C59" s="218">
        <f>SUM(C10,C16,C22,C28,C34)</f>
        <v>184</v>
      </c>
      <c r="D59" s="271">
        <f>SUM(B59:C59)</f>
        <v>205</v>
      </c>
      <c r="E59" s="123"/>
      <c r="F59" s="176"/>
      <c r="G59" s="212">
        <f>EXP(G61)</f>
        <v>2.4216682906276477</v>
      </c>
      <c r="H59" s="24"/>
      <c r="I59" s="24"/>
    </row>
    <row r="60" spans="1:9" ht="12" customHeight="1" x14ac:dyDescent="0.2">
      <c r="A60" s="34" t="s">
        <v>54</v>
      </c>
      <c r="B60" s="349">
        <f>SUM(B58:B59)</f>
        <v>51</v>
      </c>
      <c r="C60" s="350">
        <f>SUM(C58:C59)</f>
        <v>358</v>
      </c>
      <c r="D60" s="300">
        <f>SUM(B60:C60)</f>
        <v>409</v>
      </c>
      <c r="E60" s="180">
        <f>LN(E58)</f>
        <v>0.36156492923292416</v>
      </c>
      <c r="F60" s="180">
        <f>SQRT(1/B58+1/B59-1/D58-1/D59)</f>
        <v>0.26678150495785763</v>
      </c>
      <c r="G60" s="180">
        <f>E60-1.96*F60</f>
        <v>-0.16132682048447677</v>
      </c>
      <c r="H60" s="24"/>
      <c r="I60" s="24"/>
    </row>
    <row r="61" spans="1:9" ht="12" customHeight="1" x14ac:dyDescent="0.2">
      <c r="A61" s="49"/>
      <c r="B61" s="49"/>
      <c r="C61" s="49"/>
      <c r="D61" s="49"/>
      <c r="E61" s="180"/>
      <c r="F61" s="180"/>
      <c r="G61" s="180">
        <f>E60+1.96*F60</f>
        <v>0.88445667895032509</v>
      </c>
      <c r="H61" s="24"/>
      <c r="I61" s="24"/>
    </row>
    <row r="62" spans="1:9" ht="12" customHeight="1" x14ac:dyDescent="0.2">
      <c r="D62" s="44"/>
      <c r="E62" s="180"/>
      <c r="F62" s="180"/>
      <c r="H62" s="24"/>
      <c r="I62" s="24"/>
    </row>
    <row r="63" spans="1:9" x14ac:dyDescent="0.2">
      <c r="A63" s="522" t="s">
        <v>217</v>
      </c>
      <c r="B63" s="522"/>
      <c r="C63" s="351">
        <v>1</v>
      </c>
      <c r="D63" s="44" t="s">
        <v>22</v>
      </c>
      <c r="E63" s="184">
        <f>(E60-LN(C63))/F60</f>
        <v>1.3552848398918773</v>
      </c>
      <c r="F63" s="44" t="s">
        <v>119</v>
      </c>
      <c r="G63" s="135">
        <f>2*(1-NORMSDIST(ABS(E63)))</f>
        <v>0.1753268231876226</v>
      </c>
    </row>
  </sheetData>
  <sheetProtection sheet="1" objects="1" scenarios="1" formatCells="0" formatColumns="0"/>
  <mergeCells count="14">
    <mergeCell ref="I1:I2"/>
    <mergeCell ref="A47:D47"/>
    <mergeCell ref="C48:D48"/>
    <mergeCell ref="A53:B53"/>
    <mergeCell ref="A44:B44"/>
    <mergeCell ref="B7:G7"/>
    <mergeCell ref="B13:G13"/>
    <mergeCell ref="A63:B63"/>
    <mergeCell ref="C1:G1"/>
    <mergeCell ref="A4:G4"/>
    <mergeCell ref="A5:G5"/>
    <mergeCell ref="B19:G19"/>
    <mergeCell ref="B25:G25"/>
    <mergeCell ref="B31:G31"/>
  </mergeCells>
  <phoneticPr fontId="0" type="noConversion"/>
  <hyperlinks>
    <hyperlink ref="I1:I2" location="Start!A1" display="Start"/>
  </hyperlink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15</vt:i4>
      </vt:variant>
      <vt:variant>
        <vt:lpstr>Navngivne områder</vt:lpstr>
      </vt:variant>
      <vt:variant>
        <vt:i4>15</vt:i4>
      </vt:variant>
    </vt:vector>
  </HeadingPairs>
  <TitlesOfParts>
    <vt:vector size="30" baseType="lpstr">
      <vt:lpstr>Start</vt:lpstr>
      <vt:lpstr>D means</vt:lpstr>
      <vt:lpstr>D prop</vt:lpstr>
      <vt:lpstr>D rates</vt:lpstr>
      <vt:lpstr>C risk</vt:lpstr>
      <vt:lpstr>C rates</vt:lpstr>
      <vt:lpstr>C means</vt:lpstr>
      <vt:lpstr>Chisq</vt:lpstr>
      <vt:lpstr>Str RR</vt:lpstr>
      <vt:lpstr>Str OR</vt:lpstr>
      <vt:lpstr>Str IRR</vt:lpstr>
      <vt:lpstr>MH OR</vt:lpstr>
      <vt:lpstr>Str any</vt:lpstr>
      <vt:lpstr>Weighted</vt:lpstr>
      <vt:lpstr>Tables</vt:lpstr>
      <vt:lpstr>'C means'!Udskriftsområde</vt:lpstr>
      <vt:lpstr>'C rates'!Udskriftsområde</vt:lpstr>
      <vt:lpstr>'C risk'!Udskriftsområde</vt:lpstr>
      <vt:lpstr>Chisq!Udskriftsområde</vt:lpstr>
      <vt:lpstr>'D means'!Udskriftsområde</vt:lpstr>
      <vt:lpstr>'D prop'!Udskriftsområde</vt:lpstr>
      <vt:lpstr>'D rates'!Udskriftsområde</vt:lpstr>
      <vt:lpstr>'MH OR'!Udskriftsområde</vt:lpstr>
      <vt:lpstr>Start!Udskriftsområde</vt:lpstr>
      <vt:lpstr>'Str any'!Udskriftsområde</vt:lpstr>
      <vt:lpstr>'Str IRR'!Udskriftsområde</vt:lpstr>
      <vt:lpstr>'Str OR'!Udskriftsområde</vt:lpstr>
      <vt:lpstr>'Str RR'!Udskriftsområde</vt:lpstr>
      <vt:lpstr>Tables!Udskriftsområde</vt:lpstr>
      <vt:lpstr>Weighted!Udskriftsområde</vt:lpstr>
    </vt:vector>
  </TitlesOfParts>
  <Company>Dept. of Epidemiology and Social Medicine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Svend Juul</dc:creator>
  <cp:lastModifiedBy>Rikke Sinding</cp:lastModifiedBy>
  <cp:lastPrinted>2013-06-14T12:00:47Z</cp:lastPrinted>
  <dcterms:created xsi:type="dcterms:W3CDTF">2002-02-18T07:44:04Z</dcterms:created>
  <dcterms:modified xsi:type="dcterms:W3CDTF">2017-03-09T08:50:51Z</dcterms:modified>
</cp:coreProperties>
</file>